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2"/>
  <workbookPr filterPrivacy="1" defaultThemeVersion="124226"/>
  <xr:revisionPtr revIDLastSave="0" documentId="13_ncr:1_{B47A5005-17B6-5A4B-8961-1EC862A37619}" xr6:coauthVersionLast="47" xr6:coauthVersionMax="47" xr10:uidLastSave="{00000000-0000-0000-0000-000000000000}"/>
  <bookViews>
    <workbookView xWindow="0" yWindow="880" windowWidth="15480" windowHeight="17600" tabRatio="868" firstSheet="8" activeTab="9" xr2:uid="{00000000-000D-0000-FFFF-FFFF00000000}"/>
  </bookViews>
  <sheets>
    <sheet name="Summary of Calculations" sheetId="13" r:id="rId1"/>
    <sheet name="Financial Ratios Calculation" sheetId="8" r:id="rId2"/>
    <sheet name="Trend Analysis Calculation" sheetId="19" r:id="rId3"/>
    <sheet name="Tobin's Q Calculation" sheetId="28" r:id="rId4"/>
    <sheet name="DuPont Analysis Calculation" sheetId="23" r:id="rId5"/>
    <sheet name="JJ Common Size Calculation" sheetId="17" r:id="rId6"/>
    <sheet name="Honest Common Size Calculation" sheetId="18" r:id="rId7"/>
    <sheet name="Earnings Quality Calculation" sheetId="24" r:id="rId8"/>
    <sheet name="Industry Valuation Calculation" sheetId="22" r:id="rId9"/>
    <sheet name="Segment Analysis Calculation" sheetId="20" r:id="rId10"/>
    <sheet name="Financia Data - J&amp;J" sheetId="11" r:id="rId11"/>
    <sheet name="Financial Data - Honest" sheetId="12" r:id="rId12"/>
    <sheet name="Stock Valuation - 2Y" sheetId="9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24" l="1"/>
  <c r="P8" i="24"/>
  <c r="Q8" i="24"/>
  <c r="R8" i="24"/>
  <c r="U8" i="24"/>
  <c r="V8" i="24"/>
  <c r="W8" i="24"/>
  <c r="X8" i="24"/>
  <c r="O9" i="24"/>
  <c r="P9" i="24"/>
  <c r="Q9" i="24"/>
  <c r="R9" i="24"/>
  <c r="U9" i="24"/>
  <c r="V9" i="24"/>
  <c r="W9" i="24"/>
  <c r="X9" i="24"/>
  <c r="O10" i="24"/>
  <c r="P10" i="24"/>
  <c r="Q10" i="24"/>
  <c r="R10" i="24"/>
  <c r="U10" i="24"/>
  <c r="V10" i="24"/>
  <c r="W10" i="24"/>
  <c r="X10" i="24"/>
  <c r="O11" i="24"/>
  <c r="P11" i="24"/>
  <c r="Q11" i="24"/>
  <c r="R11" i="24"/>
  <c r="U11" i="24"/>
  <c r="V11" i="24"/>
  <c r="W11" i="24"/>
  <c r="X11" i="24"/>
  <c r="AE19" i="19"/>
  <c r="AE7" i="19"/>
  <c r="AP7" i="19"/>
  <c r="S12" i="13"/>
  <c r="S13" i="13"/>
  <c r="S15" i="13"/>
  <c r="S16" i="13"/>
  <c r="S17" i="13"/>
  <c r="S18" i="13"/>
  <c r="S20" i="13"/>
  <c r="S21" i="13"/>
  <c r="S22" i="13"/>
  <c r="S25" i="13"/>
  <c r="S26" i="13"/>
  <c r="S30" i="13"/>
  <c r="S31" i="13"/>
  <c r="S41" i="13"/>
  <c r="S42" i="13"/>
  <c r="S43" i="13"/>
  <c r="S51" i="13"/>
  <c r="S53" i="13"/>
  <c r="S59" i="13"/>
  <c r="S60" i="13"/>
  <c r="S61" i="13"/>
  <c r="S76" i="13"/>
  <c r="S78" i="13"/>
  <c r="S79" i="13"/>
  <c r="S88" i="13"/>
  <c r="S90" i="13"/>
  <c r="S91" i="13"/>
  <c r="S102" i="13"/>
  <c r="S113" i="13"/>
  <c r="S114" i="13"/>
  <c r="S115" i="13"/>
  <c r="S116" i="13"/>
  <c r="S119" i="13"/>
  <c r="S128" i="13"/>
  <c r="S132" i="13"/>
  <c r="S133" i="13"/>
  <c r="S134" i="13"/>
  <c r="S153" i="13"/>
  <c r="S154" i="13"/>
  <c r="R12" i="13"/>
  <c r="R13" i="13"/>
  <c r="R15" i="13"/>
  <c r="R16" i="13"/>
  <c r="R17" i="13"/>
  <c r="R18" i="13"/>
  <c r="R20" i="13"/>
  <c r="R21" i="13"/>
  <c r="R22" i="13"/>
  <c r="R25" i="13"/>
  <c r="R26" i="13"/>
  <c r="R29" i="13"/>
  <c r="R30" i="13"/>
  <c r="R31" i="13"/>
  <c r="R40" i="13"/>
  <c r="R41" i="13"/>
  <c r="R42" i="13"/>
  <c r="R43" i="13"/>
  <c r="R51" i="13"/>
  <c r="R53" i="13"/>
  <c r="R59" i="13"/>
  <c r="R60" i="13"/>
  <c r="R61" i="13"/>
  <c r="R76" i="13"/>
  <c r="R78" i="13"/>
  <c r="R79" i="13"/>
  <c r="R85" i="13"/>
  <c r="R87" i="13"/>
  <c r="R88" i="13"/>
  <c r="R90" i="13"/>
  <c r="R91" i="13"/>
  <c r="R92" i="13"/>
  <c r="R100" i="13"/>
  <c r="R101" i="13"/>
  <c r="R102" i="13"/>
  <c r="R104" i="13"/>
  <c r="R106" i="13"/>
  <c r="R113" i="13"/>
  <c r="R114" i="13"/>
  <c r="R115" i="13"/>
  <c r="R116" i="13"/>
  <c r="R119" i="13"/>
  <c r="R120" i="13"/>
  <c r="R127" i="13"/>
  <c r="R128" i="13"/>
  <c r="R131" i="13"/>
  <c r="R132" i="13"/>
  <c r="R133" i="13"/>
  <c r="R134" i="13"/>
  <c r="R141" i="13"/>
  <c r="R144" i="13"/>
  <c r="R151" i="13"/>
  <c r="R152" i="13"/>
  <c r="R153" i="13"/>
  <c r="R154" i="13"/>
  <c r="Q12" i="13"/>
  <c r="Q13" i="13"/>
  <c r="Q15" i="13"/>
  <c r="Q16" i="13"/>
  <c r="Q17" i="13"/>
  <c r="Q18" i="13"/>
  <c r="Q20" i="13"/>
  <c r="Q21" i="13"/>
  <c r="Q22" i="13"/>
  <c r="Q24" i="13"/>
  <c r="Q25" i="13"/>
  <c r="Q26" i="13"/>
  <c r="Q27" i="13"/>
  <c r="Q29" i="13"/>
  <c r="Q30" i="13"/>
  <c r="Q31" i="13"/>
  <c r="Q32" i="13"/>
  <c r="Q40" i="13"/>
  <c r="Q41" i="13"/>
  <c r="Q42" i="13"/>
  <c r="Q43" i="13"/>
  <c r="Q44" i="13"/>
  <c r="Q51" i="13"/>
  <c r="Q53" i="13"/>
  <c r="Q59" i="13"/>
  <c r="Q60" i="13"/>
  <c r="Q61" i="13"/>
  <c r="Q68" i="13"/>
  <c r="Q69" i="13"/>
  <c r="Q70" i="13"/>
  <c r="Q76" i="13"/>
  <c r="Q77" i="13"/>
  <c r="Q78" i="13"/>
  <c r="Q79" i="13"/>
  <c r="Q85" i="13"/>
  <c r="Q86" i="13"/>
  <c r="Q87" i="13"/>
  <c r="Q88" i="13"/>
  <c r="Q89" i="13"/>
  <c r="Q90" i="13"/>
  <c r="Q91" i="13"/>
  <c r="Q92" i="13"/>
  <c r="Q93" i="13"/>
  <c r="Q100" i="13"/>
  <c r="Q101" i="13"/>
  <c r="Q102" i="13"/>
  <c r="Q104" i="13"/>
  <c r="Q106" i="13"/>
  <c r="Q113" i="13"/>
  <c r="Q114" i="13"/>
  <c r="Q115" i="13"/>
  <c r="Q116" i="13"/>
  <c r="Q119" i="13"/>
  <c r="Q120" i="13"/>
  <c r="Q128" i="13"/>
  <c r="Q132" i="13"/>
  <c r="Q133" i="13"/>
  <c r="Q134" i="13"/>
  <c r="Q141" i="13"/>
  <c r="Q144" i="13"/>
  <c r="Q151" i="13"/>
  <c r="Q152" i="13"/>
  <c r="Q153" i="13"/>
  <c r="Q154" i="13"/>
  <c r="P12" i="13"/>
  <c r="P13" i="13"/>
  <c r="P15" i="13"/>
  <c r="P16" i="13"/>
  <c r="P17" i="13"/>
  <c r="P18" i="13"/>
  <c r="P20" i="13"/>
  <c r="P21" i="13"/>
  <c r="P22" i="13"/>
  <c r="P24" i="13"/>
  <c r="P25" i="13"/>
  <c r="P26" i="13"/>
  <c r="P27" i="13"/>
  <c r="P29" i="13"/>
  <c r="P30" i="13"/>
  <c r="P31" i="13"/>
  <c r="P32" i="13"/>
  <c r="P40" i="13"/>
  <c r="P41" i="13"/>
  <c r="P42" i="13"/>
  <c r="P43" i="13"/>
  <c r="P44" i="13"/>
  <c r="P51" i="13"/>
  <c r="P53" i="13"/>
  <c r="P59" i="13"/>
  <c r="P60" i="13"/>
  <c r="P61" i="13"/>
  <c r="P68" i="13"/>
  <c r="P69" i="13"/>
  <c r="P70" i="13"/>
  <c r="P76" i="13"/>
  <c r="P77" i="13"/>
  <c r="P78" i="13"/>
  <c r="P79" i="13"/>
  <c r="P85" i="13"/>
  <c r="P86" i="13"/>
  <c r="P87" i="13"/>
  <c r="P88" i="13"/>
  <c r="P89" i="13"/>
  <c r="P90" i="13"/>
  <c r="P91" i="13"/>
  <c r="P92" i="13"/>
  <c r="P93" i="13"/>
  <c r="P100" i="13"/>
  <c r="P101" i="13"/>
  <c r="P102" i="13"/>
  <c r="P104" i="13"/>
  <c r="P106" i="13"/>
  <c r="P113" i="13"/>
  <c r="P114" i="13"/>
  <c r="P115" i="13"/>
  <c r="P116" i="13"/>
  <c r="P119" i="13"/>
  <c r="P120" i="13"/>
  <c r="P127" i="13"/>
  <c r="P128" i="13"/>
  <c r="P131" i="13"/>
  <c r="P132" i="13"/>
  <c r="P133" i="13"/>
  <c r="P134" i="13"/>
  <c r="P141" i="13"/>
  <c r="P144" i="13"/>
  <c r="P151" i="13"/>
  <c r="P152" i="13"/>
  <c r="P153" i="13"/>
  <c r="P154" i="13"/>
  <c r="S11" i="13"/>
  <c r="R11" i="13"/>
  <c r="Q11" i="13"/>
  <c r="P11" i="13"/>
  <c r="H167" i="13"/>
  <c r="G167" i="13"/>
  <c r="H165" i="13"/>
  <c r="G165" i="13"/>
  <c r="H163" i="13"/>
  <c r="G163" i="13"/>
  <c r="H161" i="13"/>
  <c r="G161" i="13"/>
  <c r="G26" i="22"/>
  <c r="D26" i="22"/>
  <c r="G25" i="22"/>
  <c r="D25" i="22"/>
  <c r="G24" i="22"/>
  <c r="D24" i="22"/>
  <c r="G23" i="22"/>
  <c r="D23" i="22"/>
  <c r="G22" i="22"/>
  <c r="D22" i="22"/>
  <c r="G100" i="13"/>
  <c r="E88" i="8"/>
  <c r="H102" i="13" s="1"/>
  <c r="F88" i="8"/>
  <c r="I102" i="13" s="1"/>
  <c r="G88" i="8"/>
  <c r="D88" i="8"/>
  <c r="G102" i="13" s="1"/>
  <c r="I88" i="8"/>
  <c r="G12" i="22" s="1"/>
  <c r="D86" i="8"/>
  <c r="D12" i="22"/>
  <c r="G11" i="22"/>
  <c r="D11" i="22"/>
  <c r="K154" i="13"/>
  <c r="L154" i="13"/>
  <c r="K153" i="13"/>
  <c r="L153" i="13"/>
  <c r="L151" i="13" s="1"/>
  <c r="S151" i="13" s="1"/>
  <c r="H154" i="13"/>
  <c r="I154" i="13"/>
  <c r="H153" i="13"/>
  <c r="I153" i="13"/>
  <c r="J154" i="13"/>
  <c r="J153" i="13"/>
  <c r="G154" i="13"/>
  <c r="G153" i="13"/>
  <c r="K120" i="13"/>
  <c r="K152" i="13" s="1"/>
  <c r="J120" i="13"/>
  <c r="J152" i="13" s="1"/>
  <c r="H120" i="13"/>
  <c r="H152" i="13" s="1"/>
  <c r="I120" i="13"/>
  <c r="I152" i="13" s="1"/>
  <c r="G120" i="13"/>
  <c r="G152" i="13" s="1"/>
  <c r="G151" i="13" s="1"/>
  <c r="C27" i="24"/>
  <c r="K134" i="13"/>
  <c r="L134" i="13"/>
  <c r="K133" i="13"/>
  <c r="L133" i="13"/>
  <c r="K132" i="13"/>
  <c r="L132" i="13"/>
  <c r="H134" i="13"/>
  <c r="I134" i="13"/>
  <c r="H133" i="13"/>
  <c r="I133" i="13"/>
  <c r="H132" i="13"/>
  <c r="I132" i="13"/>
  <c r="J134" i="13"/>
  <c r="G134" i="13"/>
  <c r="J133" i="13"/>
  <c r="G133" i="13"/>
  <c r="J132" i="13"/>
  <c r="G132" i="13"/>
  <c r="C18" i="24"/>
  <c r="K128" i="13"/>
  <c r="L128" i="13"/>
  <c r="H128" i="13"/>
  <c r="I128" i="13"/>
  <c r="J128" i="13"/>
  <c r="G128" i="13"/>
  <c r="K114" i="13"/>
  <c r="L114" i="13"/>
  <c r="J114" i="13"/>
  <c r="H114" i="13"/>
  <c r="I114" i="13"/>
  <c r="G114" i="13"/>
  <c r="K106" i="13"/>
  <c r="L106" i="13"/>
  <c r="K104" i="13"/>
  <c r="K102" i="13"/>
  <c r="L102" i="13"/>
  <c r="K101" i="13"/>
  <c r="L101" i="13"/>
  <c r="H106" i="13"/>
  <c r="I106" i="13"/>
  <c r="H104" i="13"/>
  <c r="I104" i="13"/>
  <c r="H101" i="13"/>
  <c r="I101" i="13"/>
  <c r="K100" i="13"/>
  <c r="L100" i="13"/>
  <c r="J106" i="13"/>
  <c r="G106" i="13"/>
  <c r="J102" i="13"/>
  <c r="J101" i="13"/>
  <c r="G101" i="13"/>
  <c r="J100" i="13"/>
  <c r="L91" i="13"/>
  <c r="K91" i="13"/>
  <c r="I91" i="13"/>
  <c r="H91" i="13"/>
  <c r="J91" i="13"/>
  <c r="G91" i="13"/>
  <c r="L93" i="13"/>
  <c r="K93" i="13"/>
  <c r="I93" i="13"/>
  <c r="H93" i="13"/>
  <c r="J93" i="13"/>
  <c r="G93" i="13"/>
  <c r="J104" i="13"/>
  <c r="L90" i="13"/>
  <c r="K90" i="13"/>
  <c r="L89" i="13"/>
  <c r="K89" i="13"/>
  <c r="L88" i="13"/>
  <c r="K88" i="13"/>
  <c r="L87" i="13"/>
  <c r="K87" i="13"/>
  <c r="K86" i="13"/>
  <c r="L85" i="13"/>
  <c r="K85" i="13"/>
  <c r="I90" i="13"/>
  <c r="H90" i="13"/>
  <c r="I89" i="13"/>
  <c r="H89" i="13"/>
  <c r="I88" i="13"/>
  <c r="H88" i="13"/>
  <c r="I87" i="13"/>
  <c r="H87" i="13"/>
  <c r="I86" i="13"/>
  <c r="H86" i="13"/>
  <c r="I85" i="13"/>
  <c r="H85" i="13"/>
  <c r="K44" i="13"/>
  <c r="J44" i="13"/>
  <c r="I44" i="13"/>
  <c r="H44" i="13"/>
  <c r="G44" i="13"/>
  <c r="L42" i="13"/>
  <c r="K42" i="13"/>
  <c r="J42" i="13"/>
  <c r="I42" i="13"/>
  <c r="H42" i="13"/>
  <c r="G42" i="13"/>
  <c r="L53" i="13"/>
  <c r="K53" i="13"/>
  <c r="J53" i="13"/>
  <c r="I53" i="13"/>
  <c r="H53" i="13"/>
  <c r="L51" i="13"/>
  <c r="K51" i="13"/>
  <c r="J51" i="13"/>
  <c r="I51" i="13"/>
  <c r="H51" i="13"/>
  <c r="G53" i="13"/>
  <c r="G51" i="13"/>
  <c r="I77" i="13"/>
  <c r="H77" i="13"/>
  <c r="I79" i="13"/>
  <c r="H79" i="13"/>
  <c r="G79" i="13"/>
  <c r="L79" i="13"/>
  <c r="K79" i="13"/>
  <c r="J79" i="13"/>
  <c r="I119" i="13"/>
  <c r="H119" i="13"/>
  <c r="G119" i="13"/>
  <c r="L119" i="13"/>
  <c r="K119" i="13"/>
  <c r="J119" i="13"/>
  <c r="I30" i="13"/>
  <c r="H30" i="13"/>
  <c r="G30" i="13"/>
  <c r="L30" i="13"/>
  <c r="K30" i="13"/>
  <c r="J30" i="13"/>
  <c r="L92" i="13"/>
  <c r="K92" i="13"/>
  <c r="J92" i="13"/>
  <c r="I92" i="13"/>
  <c r="H92" i="13"/>
  <c r="G92" i="13"/>
  <c r="J90" i="13"/>
  <c r="G90" i="13"/>
  <c r="J89" i="13"/>
  <c r="G89" i="13"/>
  <c r="J85" i="13"/>
  <c r="G85" i="13"/>
  <c r="J86" i="13"/>
  <c r="G86" i="13"/>
  <c r="J88" i="13"/>
  <c r="G88" i="13"/>
  <c r="J87" i="13"/>
  <c r="G87" i="13"/>
  <c r="K78" i="13"/>
  <c r="L78" i="13"/>
  <c r="J78" i="13"/>
  <c r="H78" i="13"/>
  <c r="I78" i="13"/>
  <c r="G77" i="13"/>
  <c r="K76" i="13"/>
  <c r="L76" i="13"/>
  <c r="H76" i="13"/>
  <c r="I76" i="13"/>
  <c r="G78" i="13"/>
  <c r="J76" i="13"/>
  <c r="G76" i="13"/>
  <c r="H70" i="13"/>
  <c r="I70" i="13"/>
  <c r="H69" i="13"/>
  <c r="I69" i="13"/>
  <c r="J70" i="13"/>
  <c r="G70" i="13"/>
  <c r="G69" i="13"/>
  <c r="H68" i="13"/>
  <c r="I68" i="13"/>
  <c r="G68" i="13"/>
  <c r="K61" i="13"/>
  <c r="L61" i="13"/>
  <c r="H61" i="13"/>
  <c r="I61" i="13"/>
  <c r="K60" i="13"/>
  <c r="L60" i="13"/>
  <c r="H60" i="13"/>
  <c r="I60" i="13"/>
  <c r="K59" i="13"/>
  <c r="L59" i="13"/>
  <c r="H59" i="13"/>
  <c r="I59" i="13"/>
  <c r="J61" i="13"/>
  <c r="G61" i="13"/>
  <c r="J60" i="13"/>
  <c r="H151" i="13" l="1"/>
  <c r="K151" i="13"/>
  <c r="I151" i="13"/>
  <c r="J151" i="13"/>
  <c r="K131" i="13"/>
  <c r="I100" i="13"/>
  <c r="H100" i="13"/>
  <c r="G104" i="13"/>
  <c r="J131" i="13"/>
  <c r="H131" i="13"/>
  <c r="G127" i="13"/>
  <c r="J127" i="13"/>
  <c r="G131" i="13"/>
  <c r="H127" i="13"/>
  <c r="K127" i="13"/>
  <c r="K43" i="13" l="1"/>
  <c r="L43" i="13"/>
  <c r="H43" i="13"/>
  <c r="I43" i="13"/>
  <c r="K41" i="13"/>
  <c r="L41" i="13"/>
  <c r="H41" i="13"/>
  <c r="I41" i="13"/>
  <c r="J43" i="13"/>
  <c r="G43" i="13"/>
  <c r="J41" i="13"/>
  <c r="G41" i="13"/>
  <c r="K40" i="13"/>
  <c r="L40" i="13"/>
  <c r="H40" i="13"/>
  <c r="I40" i="13"/>
  <c r="J40" i="13"/>
  <c r="G40" i="13"/>
  <c r="I8" i="20"/>
  <c r="H8" i="20"/>
  <c r="Q18" i="20"/>
  <c r="R18" i="20"/>
  <c r="S18" i="20"/>
  <c r="Q17" i="20"/>
  <c r="R17" i="20"/>
  <c r="S17" i="20"/>
  <c r="Q16" i="20"/>
  <c r="R16" i="20"/>
  <c r="S16" i="20"/>
  <c r="P18" i="20"/>
  <c r="P17" i="20"/>
  <c r="P16" i="20"/>
  <c r="J13" i="20"/>
  <c r="J14" i="20"/>
  <c r="J15" i="20"/>
  <c r="J16" i="20"/>
  <c r="J23" i="20"/>
  <c r="J24" i="20"/>
  <c r="J25" i="20"/>
  <c r="J26" i="20"/>
  <c r="I13" i="20"/>
  <c r="I14" i="20"/>
  <c r="I15" i="20"/>
  <c r="I16" i="20"/>
  <c r="I23" i="20"/>
  <c r="I24" i="20"/>
  <c r="I25" i="20"/>
  <c r="I26" i="20"/>
  <c r="H13" i="20"/>
  <c r="H14" i="20"/>
  <c r="H15" i="20"/>
  <c r="H16" i="20"/>
  <c r="H23" i="20"/>
  <c r="H24" i="20"/>
  <c r="H25" i="20"/>
  <c r="H26" i="20"/>
  <c r="D21" i="20"/>
  <c r="E21" i="20"/>
  <c r="F21" i="20"/>
  <c r="D20" i="20"/>
  <c r="E20" i="20"/>
  <c r="F20" i="20"/>
  <c r="D19" i="20"/>
  <c r="E19" i="20"/>
  <c r="F19" i="20"/>
  <c r="C21" i="20"/>
  <c r="C20" i="20"/>
  <c r="C19" i="20"/>
  <c r="V10" i="20"/>
  <c r="W10" i="20"/>
  <c r="V9" i="20"/>
  <c r="W9" i="20"/>
  <c r="V8" i="20"/>
  <c r="W8" i="20"/>
  <c r="U9" i="20"/>
  <c r="U10" i="20"/>
  <c r="U8" i="20"/>
  <c r="I10" i="20"/>
  <c r="J10" i="20"/>
  <c r="I9" i="20"/>
  <c r="J9" i="20"/>
  <c r="J8" i="20"/>
  <c r="H9" i="20"/>
  <c r="H10" i="20"/>
  <c r="Q11" i="20"/>
  <c r="R11" i="20"/>
  <c r="S11" i="20"/>
  <c r="P11" i="20"/>
  <c r="F11" i="20"/>
  <c r="F17" i="20" s="1"/>
  <c r="C11" i="20"/>
  <c r="C17" i="20" s="1"/>
  <c r="E11" i="20"/>
  <c r="E17" i="20" s="1"/>
  <c r="D11" i="20"/>
  <c r="D17" i="20" s="1"/>
  <c r="L10" i="22"/>
  <c r="K10" i="22"/>
  <c r="D17" i="22"/>
  <c r="D18" i="22" s="1"/>
  <c r="G17" i="22"/>
  <c r="D13" i="22"/>
  <c r="G13" i="22"/>
  <c r="G19" i="22"/>
  <c r="D19" i="22"/>
  <c r="G16" i="22"/>
  <c r="D16" i="22"/>
  <c r="D7" i="22"/>
  <c r="I21" i="24"/>
  <c r="J21" i="24"/>
  <c r="K21" i="24"/>
  <c r="D21" i="24"/>
  <c r="E21" i="24"/>
  <c r="F21" i="24"/>
  <c r="H21" i="24"/>
  <c r="C21" i="24"/>
  <c r="D12" i="24"/>
  <c r="E12" i="24"/>
  <c r="F12" i="24"/>
  <c r="C12" i="24"/>
  <c r="J11" i="24"/>
  <c r="K11" i="24"/>
  <c r="I11" i="24"/>
  <c r="H11" i="24"/>
  <c r="D11" i="24"/>
  <c r="E11" i="24"/>
  <c r="F11" i="24"/>
  <c r="C11" i="24"/>
  <c r="D8" i="24"/>
  <c r="E8" i="24"/>
  <c r="F8" i="24"/>
  <c r="I8" i="24"/>
  <c r="J8" i="24"/>
  <c r="K8" i="24"/>
  <c r="H8" i="24"/>
  <c r="C8" i="24"/>
  <c r="J46" i="19"/>
  <c r="I46" i="19"/>
  <c r="H46" i="19"/>
  <c r="I11" i="23"/>
  <c r="J11" i="23"/>
  <c r="K11" i="23"/>
  <c r="H11" i="23"/>
  <c r="D11" i="23"/>
  <c r="E11" i="23"/>
  <c r="F11" i="23"/>
  <c r="C11" i="23"/>
  <c r="I8" i="23"/>
  <c r="J8" i="23"/>
  <c r="K8" i="23"/>
  <c r="H8" i="23"/>
  <c r="D8" i="23"/>
  <c r="E8" i="23"/>
  <c r="F8" i="23"/>
  <c r="C8" i="23"/>
  <c r="P19" i="20" l="1"/>
  <c r="P21" i="20" s="1"/>
  <c r="Q19" i="20"/>
  <c r="Q21" i="20" s="1"/>
  <c r="S19" i="20"/>
  <c r="S21" i="20" s="1"/>
  <c r="R19" i="20"/>
  <c r="R21" i="20" s="1"/>
  <c r="H21" i="20"/>
  <c r="J19" i="20"/>
  <c r="I21" i="20"/>
  <c r="I20" i="20"/>
  <c r="J17" i="20"/>
  <c r="I19" i="20"/>
  <c r="H20" i="20"/>
  <c r="J20" i="20"/>
  <c r="I17" i="20"/>
  <c r="J21" i="20"/>
  <c r="H19" i="20"/>
  <c r="H17" i="20"/>
  <c r="I11" i="20"/>
  <c r="J11" i="20"/>
  <c r="F22" i="20"/>
  <c r="F27" i="20" s="1"/>
  <c r="C22" i="20"/>
  <c r="C29" i="20" s="1"/>
  <c r="E22" i="20"/>
  <c r="E29" i="20" s="1"/>
  <c r="D22" i="20"/>
  <c r="D29" i="20" s="1"/>
  <c r="H11" i="20"/>
  <c r="W11" i="20"/>
  <c r="U11" i="20"/>
  <c r="V11" i="20"/>
  <c r="AB9" i="24"/>
  <c r="AA9" i="24"/>
  <c r="AF9" i="24"/>
  <c r="Z9" i="24"/>
  <c r="AE9" i="24"/>
  <c r="AD9" i="24"/>
  <c r="G18" i="22"/>
  <c r="G20" i="22" s="1"/>
  <c r="L9" i="22" s="1"/>
  <c r="D20" i="22"/>
  <c r="K9" i="22" s="1"/>
  <c r="F29" i="20" l="1"/>
  <c r="D27" i="20"/>
  <c r="I22" i="20"/>
  <c r="E27" i="20"/>
  <c r="J27" i="20" s="1"/>
  <c r="J22" i="20"/>
  <c r="C27" i="20"/>
  <c r="H22" i="20"/>
  <c r="H27" i="20" l="1"/>
  <c r="I27" i="20"/>
  <c r="D79" i="8"/>
  <c r="L79" i="8"/>
  <c r="K8" i="28" s="1"/>
  <c r="K79" i="8"/>
  <c r="J8" i="28" s="1"/>
  <c r="J79" i="8"/>
  <c r="I8" i="28" s="1"/>
  <c r="I79" i="8"/>
  <c r="G29" i="22" s="1"/>
  <c r="G31" i="22" s="1"/>
  <c r="L11" i="22" s="1"/>
  <c r="G79" i="8"/>
  <c r="F8" i="28" s="1"/>
  <c r="F79" i="8"/>
  <c r="E8" i="28" s="1"/>
  <c r="E79" i="8"/>
  <c r="D8" i="28" s="1"/>
  <c r="S63" i="8"/>
  <c r="R63" i="8"/>
  <c r="BO10" i="19"/>
  <c r="BO11" i="19"/>
  <c r="BO12" i="19"/>
  <c r="BO14" i="19"/>
  <c r="BO15" i="19"/>
  <c r="BO16" i="19"/>
  <c r="BO17" i="19"/>
  <c r="BO18" i="19"/>
  <c r="BO22" i="19"/>
  <c r="BO23" i="19"/>
  <c r="BO24" i="19"/>
  <c r="BO25" i="19"/>
  <c r="BO30" i="19"/>
  <c r="BO35" i="19"/>
  <c r="BO38" i="19"/>
  <c r="BO39" i="19"/>
  <c r="BO42" i="19"/>
  <c r="BO48" i="19"/>
  <c r="BO49" i="19"/>
  <c r="BO51" i="19"/>
  <c r="BO53" i="19"/>
  <c r="BN10" i="19"/>
  <c r="BN11" i="19"/>
  <c r="BN12" i="19"/>
  <c r="BN14" i="19"/>
  <c r="BN15" i="19"/>
  <c r="BN16" i="19"/>
  <c r="BN17" i="19"/>
  <c r="BN18" i="19"/>
  <c r="BN22" i="19"/>
  <c r="BN23" i="19"/>
  <c r="BN24" i="19"/>
  <c r="BN25" i="19"/>
  <c r="BN30" i="19"/>
  <c r="BN35" i="19"/>
  <c r="BN38" i="19"/>
  <c r="BN39" i="19"/>
  <c r="BN42" i="19"/>
  <c r="BN48" i="19"/>
  <c r="BN49" i="19"/>
  <c r="BN51" i="19"/>
  <c r="BN53" i="19"/>
  <c r="BM10" i="19"/>
  <c r="BM11" i="19"/>
  <c r="BM12" i="19"/>
  <c r="BM14" i="19"/>
  <c r="BM15" i="19"/>
  <c r="BM16" i="19"/>
  <c r="BM17" i="19"/>
  <c r="BM18" i="19"/>
  <c r="BM22" i="19"/>
  <c r="BM24" i="19"/>
  <c r="BM25" i="19"/>
  <c r="BM30" i="19"/>
  <c r="BM32" i="19"/>
  <c r="BM33" i="19"/>
  <c r="BM35" i="19"/>
  <c r="BM38" i="19"/>
  <c r="BM39" i="19"/>
  <c r="BM42" i="19"/>
  <c r="BM48" i="19"/>
  <c r="BM49" i="19"/>
  <c r="BM53" i="19"/>
  <c r="BN8" i="19"/>
  <c r="BO8" i="19"/>
  <c r="BM8" i="19"/>
  <c r="BD10" i="19"/>
  <c r="BD11" i="19"/>
  <c r="BD12" i="19"/>
  <c r="BD14" i="19"/>
  <c r="BD15" i="19"/>
  <c r="BD16" i="19"/>
  <c r="BD18" i="19"/>
  <c r="BD19" i="19"/>
  <c r="BD20" i="19"/>
  <c r="BD21" i="19"/>
  <c r="BD22" i="19"/>
  <c r="BD25" i="19"/>
  <c r="BD26" i="19"/>
  <c r="BD27" i="19"/>
  <c r="BD28" i="19"/>
  <c r="BD29" i="19"/>
  <c r="BD30" i="19"/>
  <c r="BD31" i="19"/>
  <c r="BD34" i="19"/>
  <c r="BD35" i="19"/>
  <c r="BD36" i="19"/>
  <c r="BD37" i="19"/>
  <c r="BD38" i="19"/>
  <c r="BD39" i="19"/>
  <c r="BD40" i="19"/>
  <c r="BD41" i="19"/>
  <c r="BD42" i="19"/>
  <c r="BD46" i="19"/>
  <c r="BD47" i="19"/>
  <c r="BD48" i="19"/>
  <c r="BD52" i="19"/>
  <c r="BD53" i="19"/>
  <c r="BD54" i="19"/>
  <c r="BD56" i="19"/>
  <c r="BD57" i="19"/>
  <c r="BD59" i="19"/>
  <c r="BD60" i="19"/>
  <c r="BC10" i="19"/>
  <c r="BC11" i="19"/>
  <c r="BC12" i="19"/>
  <c r="BC14" i="19"/>
  <c r="BC15" i="19"/>
  <c r="BC16" i="19"/>
  <c r="BC18" i="19"/>
  <c r="BC19" i="19"/>
  <c r="BC20" i="19"/>
  <c r="BC21" i="19"/>
  <c r="BC22" i="19"/>
  <c r="BC25" i="19"/>
  <c r="BC26" i="19"/>
  <c r="BC27" i="19"/>
  <c r="BC28" i="19"/>
  <c r="BC29" i="19"/>
  <c r="BC30" i="19"/>
  <c r="BC31" i="19"/>
  <c r="BC34" i="19"/>
  <c r="BC35" i="19"/>
  <c r="BC36" i="19"/>
  <c r="BC37" i="19"/>
  <c r="BC38" i="19"/>
  <c r="BC39" i="19"/>
  <c r="BC40" i="19"/>
  <c r="BC41" i="19"/>
  <c r="BC42" i="19"/>
  <c r="BC46" i="19"/>
  <c r="BC47" i="19"/>
  <c r="BC48" i="19"/>
  <c r="BC52" i="19"/>
  <c r="BC53" i="19"/>
  <c r="BC54" i="19"/>
  <c r="BC56" i="19"/>
  <c r="BC59" i="19"/>
  <c r="BC60" i="19"/>
  <c r="BB10" i="19"/>
  <c r="BB11" i="19"/>
  <c r="BB12" i="19"/>
  <c r="BB14" i="19"/>
  <c r="BB15" i="19"/>
  <c r="BB16" i="19"/>
  <c r="BB18" i="19"/>
  <c r="BB19" i="19"/>
  <c r="BB20" i="19"/>
  <c r="BB21" i="19"/>
  <c r="BB22" i="19"/>
  <c r="BB25" i="19"/>
  <c r="BB26" i="19"/>
  <c r="BB27" i="19"/>
  <c r="BB28" i="19"/>
  <c r="BB29" i="19"/>
  <c r="BB30" i="19"/>
  <c r="BB31" i="19"/>
  <c r="BB34" i="19"/>
  <c r="BB35" i="19"/>
  <c r="BB36" i="19"/>
  <c r="BB37" i="19"/>
  <c r="BB38" i="19"/>
  <c r="BB39" i="19"/>
  <c r="BB40" i="19"/>
  <c r="BB41" i="19"/>
  <c r="BB42" i="19"/>
  <c r="BB46" i="19"/>
  <c r="BB47" i="19"/>
  <c r="BB48" i="19"/>
  <c r="BB52" i="19"/>
  <c r="BB53" i="19"/>
  <c r="BB54" i="19"/>
  <c r="BB56" i="19"/>
  <c r="BB59" i="19"/>
  <c r="BB60" i="19"/>
  <c r="BC8" i="19"/>
  <c r="BD8" i="19"/>
  <c r="BB8" i="19"/>
  <c r="AR8" i="19"/>
  <c r="AR10" i="19"/>
  <c r="AR11" i="19"/>
  <c r="AR14" i="19"/>
  <c r="AR17" i="19"/>
  <c r="AR21" i="19"/>
  <c r="AR22" i="19"/>
  <c r="AR23" i="19"/>
  <c r="AR24" i="19"/>
  <c r="AR32" i="19"/>
  <c r="AR34" i="19"/>
  <c r="AR35" i="19"/>
  <c r="AQ8" i="19"/>
  <c r="AQ10" i="19"/>
  <c r="AQ11" i="19"/>
  <c r="AQ14" i="19"/>
  <c r="AQ17" i="19"/>
  <c r="AQ21" i="19"/>
  <c r="AQ22" i="19"/>
  <c r="AQ23" i="19"/>
  <c r="AQ24" i="19"/>
  <c r="AQ32" i="19"/>
  <c r="AQ34" i="19"/>
  <c r="AQ35" i="19"/>
  <c r="AP8" i="19"/>
  <c r="AP10" i="19"/>
  <c r="AP11" i="19"/>
  <c r="AP14" i="19"/>
  <c r="AP17" i="19"/>
  <c r="AP21" i="19"/>
  <c r="AP22" i="19"/>
  <c r="AP23" i="19"/>
  <c r="AP24" i="19"/>
  <c r="AP32" i="19"/>
  <c r="AP34" i="19"/>
  <c r="AP35" i="19"/>
  <c r="AQ7" i="19"/>
  <c r="AR7" i="19"/>
  <c r="AG8" i="19"/>
  <c r="AG10" i="19"/>
  <c r="AG11" i="19"/>
  <c r="AG14" i="19"/>
  <c r="AG15" i="19"/>
  <c r="AG17" i="19"/>
  <c r="AG21" i="19"/>
  <c r="AG22" i="19"/>
  <c r="AG23" i="19"/>
  <c r="AG24" i="19"/>
  <c r="AG30" i="19"/>
  <c r="AG31" i="19"/>
  <c r="AG32" i="19"/>
  <c r="AG34" i="19"/>
  <c r="AG35" i="19"/>
  <c r="AG36" i="19"/>
  <c r="AF8" i="19"/>
  <c r="AF10" i="19"/>
  <c r="AF11" i="19"/>
  <c r="AF14" i="19"/>
  <c r="AF15" i="19"/>
  <c r="AF17" i="19"/>
  <c r="AF21" i="19"/>
  <c r="AF22" i="19"/>
  <c r="AF23" i="19"/>
  <c r="AF24" i="19"/>
  <c r="AF30" i="19"/>
  <c r="AF31" i="19"/>
  <c r="AF32" i="19"/>
  <c r="AF34" i="19"/>
  <c r="AF35" i="19"/>
  <c r="AF36" i="19"/>
  <c r="AE8" i="19"/>
  <c r="AE10" i="19"/>
  <c r="AE11" i="19"/>
  <c r="AE14" i="19"/>
  <c r="AE15" i="19"/>
  <c r="AE17" i="19"/>
  <c r="AE21" i="19"/>
  <c r="AE22" i="19"/>
  <c r="AE23" i="19"/>
  <c r="AE24" i="19"/>
  <c r="AE30" i="19"/>
  <c r="AE31" i="19"/>
  <c r="AE32" i="19"/>
  <c r="AE34" i="19"/>
  <c r="AE35" i="19"/>
  <c r="AE36" i="19"/>
  <c r="AF7" i="19"/>
  <c r="AG7" i="19"/>
  <c r="U11" i="19"/>
  <c r="U12" i="19"/>
  <c r="U13" i="19"/>
  <c r="U14" i="19"/>
  <c r="U17" i="19"/>
  <c r="U18" i="19"/>
  <c r="U19" i="19"/>
  <c r="U20" i="19"/>
  <c r="U24" i="19"/>
  <c r="U25" i="19"/>
  <c r="U26" i="19"/>
  <c r="U29" i="19"/>
  <c r="U31" i="19"/>
  <c r="U34" i="19"/>
  <c r="U37" i="19"/>
  <c r="U38" i="19"/>
  <c r="U39" i="19"/>
  <c r="U40" i="19"/>
  <c r="T10" i="19"/>
  <c r="T11" i="19"/>
  <c r="T12" i="19"/>
  <c r="T13" i="19"/>
  <c r="T14" i="19"/>
  <c r="T17" i="19"/>
  <c r="T18" i="19"/>
  <c r="T19" i="19"/>
  <c r="T20" i="19"/>
  <c r="T24" i="19"/>
  <c r="T25" i="19"/>
  <c r="T26" i="19"/>
  <c r="T29" i="19"/>
  <c r="T31" i="19"/>
  <c r="T34" i="19"/>
  <c r="T37" i="19"/>
  <c r="T38" i="19"/>
  <c r="T39" i="19"/>
  <c r="T40" i="19"/>
  <c r="S11" i="19"/>
  <c r="S12" i="19"/>
  <c r="S13" i="19"/>
  <c r="S14" i="19"/>
  <c r="S17" i="19"/>
  <c r="S18" i="19"/>
  <c r="S19" i="19"/>
  <c r="S20" i="19"/>
  <c r="S24" i="19"/>
  <c r="S25" i="19"/>
  <c r="S26" i="19"/>
  <c r="S31" i="19"/>
  <c r="S37" i="19"/>
  <c r="S38" i="19"/>
  <c r="S39" i="19"/>
  <c r="S40" i="19"/>
  <c r="T9" i="19"/>
  <c r="U9" i="19"/>
  <c r="S9" i="19"/>
  <c r="J10" i="19"/>
  <c r="J11" i="19"/>
  <c r="J12" i="19"/>
  <c r="J13" i="19"/>
  <c r="J16" i="19"/>
  <c r="J17" i="19"/>
  <c r="J18" i="19"/>
  <c r="J19" i="19"/>
  <c r="J20" i="19"/>
  <c r="J24" i="19"/>
  <c r="J25" i="19"/>
  <c r="J26" i="19"/>
  <c r="J27" i="19"/>
  <c r="J28" i="19"/>
  <c r="J29" i="19"/>
  <c r="J31" i="19"/>
  <c r="J32" i="19"/>
  <c r="J33" i="19"/>
  <c r="J34" i="19"/>
  <c r="J35" i="19"/>
  <c r="J40" i="19"/>
  <c r="J41" i="19"/>
  <c r="J42" i="19"/>
  <c r="I10" i="19"/>
  <c r="I11" i="19"/>
  <c r="I12" i="19"/>
  <c r="I13" i="19"/>
  <c r="I16" i="19"/>
  <c r="I17" i="19"/>
  <c r="I18" i="19"/>
  <c r="I19" i="19"/>
  <c r="I20" i="19"/>
  <c r="I24" i="19"/>
  <c r="I25" i="19"/>
  <c r="I26" i="19"/>
  <c r="I27" i="19"/>
  <c r="I28" i="19"/>
  <c r="I29" i="19"/>
  <c r="I31" i="19"/>
  <c r="I32" i="19"/>
  <c r="I33" i="19"/>
  <c r="I34" i="19"/>
  <c r="I35" i="19"/>
  <c r="I40" i="19"/>
  <c r="I41" i="19"/>
  <c r="I42" i="19"/>
  <c r="H11" i="19"/>
  <c r="H10" i="19"/>
  <c r="H12" i="19"/>
  <c r="H13" i="19"/>
  <c r="H16" i="19"/>
  <c r="H17" i="19"/>
  <c r="H18" i="19"/>
  <c r="H19" i="19"/>
  <c r="H20" i="19"/>
  <c r="H24" i="19"/>
  <c r="H25" i="19"/>
  <c r="H26" i="19"/>
  <c r="H27" i="19"/>
  <c r="H28" i="19"/>
  <c r="H29" i="19"/>
  <c r="H31" i="19"/>
  <c r="H32" i="19"/>
  <c r="H33" i="19"/>
  <c r="H34" i="19"/>
  <c r="H35" i="19"/>
  <c r="H40" i="19"/>
  <c r="H41" i="19"/>
  <c r="H42" i="19"/>
  <c r="I9" i="19"/>
  <c r="J9" i="19"/>
  <c r="H9" i="19"/>
  <c r="BH20" i="19"/>
  <c r="BI20" i="19"/>
  <c r="BJ20" i="19"/>
  <c r="BK20" i="19"/>
  <c r="BH26" i="19"/>
  <c r="H23" i="24" s="1"/>
  <c r="BI26" i="19"/>
  <c r="I23" i="24" s="1"/>
  <c r="BJ26" i="19"/>
  <c r="J23" i="24" s="1"/>
  <c r="BK26" i="19"/>
  <c r="K23" i="24" s="1"/>
  <c r="BH36" i="19"/>
  <c r="BI36" i="19"/>
  <c r="BJ36" i="19"/>
  <c r="BK36" i="19"/>
  <c r="BH40" i="19"/>
  <c r="BI40" i="19"/>
  <c r="BJ40" i="19"/>
  <c r="BK40" i="19"/>
  <c r="BH45" i="19"/>
  <c r="BI45" i="19"/>
  <c r="BJ45" i="19"/>
  <c r="BK45" i="19"/>
  <c r="AW49" i="19"/>
  <c r="AX49" i="19"/>
  <c r="AY49" i="19"/>
  <c r="AZ49" i="19"/>
  <c r="AW61" i="19"/>
  <c r="AX61" i="19"/>
  <c r="AY61" i="19"/>
  <c r="AZ61" i="19"/>
  <c r="AW23" i="19"/>
  <c r="AX23" i="19"/>
  <c r="AY23" i="19"/>
  <c r="AZ23" i="19"/>
  <c r="AW32" i="19"/>
  <c r="C23" i="24" s="1"/>
  <c r="AX32" i="19"/>
  <c r="D23" i="24" s="1"/>
  <c r="AY32" i="19"/>
  <c r="E23" i="24" s="1"/>
  <c r="AZ32" i="19"/>
  <c r="F23" i="24" s="1"/>
  <c r="AW43" i="19"/>
  <c r="AX43" i="19"/>
  <c r="AY43" i="19"/>
  <c r="AZ43" i="19"/>
  <c r="AK26" i="19"/>
  <c r="AL26" i="19"/>
  <c r="AM26" i="19"/>
  <c r="AN26" i="19"/>
  <c r="AK9" i="19"/>
  <c r="AL9" i="19"/>
  <c r="AM9" i="19"/>
  <c r="AN9" i="19"/>
  <c r="AK12" i="19"/>
  <c r="AL12" i="19"/>
  <c r="AM12" i="19"/>
  <c r="AN12" i="19"/>
  <c r="Z29" i="19"/>
  <c r="AA29" i="19"/>
  <c r="AB29" i="19"/>
  <c r="AC29" i="19"/>
  <c r="Z26" i="19"/>
  <c r="AA26" i="19"/>
  <c r="AB26" i="19"/>
  <c r="AC26" i="19"/>
  <c r="Z9" i="19"/>
  <c r="AA9" i="19"/>
  <c r="AB9" i="19"/>
  <c r="AC9" i="19"/>
  <c r="Z12" i="19"/>
  <c r="AA12" i="19"/>
  <c r="AB12" i="19"/>
  <c r="AC12" i="19"/>
  <c r="N15" i="19"/>
  <c r="O15" i="19"/>
  <c r="P15" i="19"/>
  <c r="Q15" i="19"/>
  <c r="Q21" i="19" s="1"/>
  <c r="N27" i="19"/>
  <c r="O27" i="19"/>
  <c r="O32" i="19" s="1"/>
  <c r="P27" i="19"/>
  <c r="Q27" i="19"/>
  <c r="Q32" i="19" s="1"/>
  <c r="N41" i="19"/>
  <c r="G10" i="22" s="1"/>
  <c r="G14" i="22" s="1"/>
  <c r="L8" i="22" s="1"/>
  <c r="O41" i="19"/>
  <c r="I16" i="23" s="1"/>
  <c r="P41" i="19"/>
  <c r="J16" i="23" s="1"/>
  <c r="Q41" i="19"/>
  <c r="K16" i="23" s="1"/>
  <c r="C47" i="19"/>
  <c r="D10" i="22" s="1"/>
  <c r="D14" i="22" s="1"/>
  <c r="K8" i="22" s="1"/>
  <c r="D47" i="19"/>
  <c r="E47" i="19"/>
  <c r="F47" i="19"/>
  <c r="F16" i="23" s="1"/>
  <c r="C15" i="19"/>
  <c r="D15" i="19"/>
  <c r="D21" i="19" s="1"/>
  <c r="E15" i="19"/>
  <c r="E21" i="19" s="1"/>
  <c r="F15" i="19"/>
  <c r="F21" i="19" s="1"/>
  <c r="C30" i="19"/>
  <c r="C36" i="19" s="1"/>
  <c r="D30" i="19"/>
  <c r="D36" i="19" s="1"/>
  <c r="E30" i="19"/>
  <c r="E36" i="19" s="1"/>
  <c r="F30" i="19"/>
  <c r="F36" i="19" s="1"/>
  <c r="W8" i="18"/>
  <c r="W10" i="18"/>
  <c r="W11" i="18"/>
  <c r="W14" i="18"/>
  <c r="W17" i="18"/>
  <c r="W21" i="18"/>
  <c r="W22" i="18"/>
  <c r="W23" i="18"/>
  <c r="W24" i="18"/>
  <c r="W32" i="18"/>
  <c r="W34" i="18"/>
  <c r="W35" i="18"/>
  <c r="V8" i="18"/>
  <c r="V10" i="18"/>
  <c r="V11" i="18"/>
  <c r="V14" i="18"/>
  <c r="V17" i="18"/>
  <c r="V21" i="18"/>
  <c r="V22" i="18"/>
  <c r="V23" i="18"/>
  <c r="V24" i="18"/>
  <c r="V32" i="18"/>
  <c r="V34" i="18"/>
  <c r="V35" i="18"/>
  <c r="U8" i="18"/>
  <c r="U10" i="18"/>
  <c r="U11" i="18"/>
  <c r="U14" i="18"/>
  <c r="U17" i="18"/>
  <c r="U21" i="18"/>
  <c r="U22" i="18"/>
  <c r="U23" i="18"/>
  <c r="U24" i="18"/>
  <c r="U30" i="18"/>
  <c r="U32" i="18"/>
  <c r="U34" i="18"/>
  <c r="U35" i="18"/>
  <c r="T8" i="18"/>
  <c r="T10" i="18"/>
  <c r="T11" i="18"/>
  <c r="T14" i="18"/>
  <c r="T17" i="18"/>
  <c r="T21" i="18"/>
  <c r="T22" i="18"/>
  <c r="T23" i="18"/>
  <c r="T24" i="18"/>
  <c r="T32" i="18"/>
  <c r="T34" i="18"/>
  <c r="T35" i="18"/>
  <c r="W7" i="18"/>
  <c r="V7" i="18"/>
  <c r="U7" i="18"/>
  <c r="T7" i="18"/>
  <c r="AA20" i="18"/>
  <c r="AF8" i="18" s="1"/>
  <c r="AB20" i="18"/>
  <c r="AG8" i="18" s="1"/>
  <c r="AC20" i="18"/>
  <c r="AH8" i="18" s="1"/>
  <c r="AD20" i="18"/>
  <c r="AI8" i="18" s="1"/>
  <c r="AA26" i="18"/>
  <c r="AF26" i="18" s="1"/>
  <c r="AB26" i="18"/>
  <c r="AC26" i="18"/>
  <c r="AD26" i="18"/>
  <c r="AA36" i="18"/>
  <c r="AF33" i="18" s="1"/>
  <c r="AB36" i="18"/>
  <c r="AC36" i="18"/>
  <c r="AD36" i="18"/>
  <c r="AA40" i="18"/>
  <c r="AF39" i="18" s="1"/>
  <c r="AB40" i="18"/>
  <c r="AG39" i="18" s="1"/>
  <c r="AC40" i="18"/>
  <c r="AH39" i="18" s="1"/>
  <c r="AD40" i="18"/>
  <c r="AI39" i="18" s="1"/>
  <c r="AA45" i="18"/>
  <c r="AB45" i="18"/>
  <c r="AC45" i="18"/>
  <c r="AD45" i="18"/>
  <c r="O26" i="18"/>
  <c r="T26" i="18" s="1"/>
  <c r="P26" i="18"/>
  <c r="U26" i="18" s="1"/>
  <c r="Q26" i="18"/>
  <c r="V26" i="18" s="1"/>
  <c r="R26" i="18"/>
  <c r="W26" i="18" s="1"/>
  <c r="O9" i="18"/>
  <c r="T9" i="18" s="1"/>
  <c r="P9" i="18"/>
  <c r="U9" i="18" s="1"/>
  <c r="Q9" i="18"/>
  <c r="V9" i="18" s="1"/>
  <c r="R9" i="18"/>
  <c r="W9" i="18" s="1"/>
  <c r="O12" i="18"/>
  <c r="T12" i="18" s="1"/>
  <c r="P12" i="18"/>
  <c r="U12" i="18" s="1"/>
  <c r="Q12" i="18"/>
  <c r="V12" i="18" s="1"/>
  <c r="R12" i="18"/>
  <c r="W12" i="18" s="1"/>
  <c r="C15" i="18"/>
  <c r="C21" i="18" s="1"/>
  <c r="H11" i="18" s="1"/>
  <c r="D15" i="18"/>
  <c r="D21" i="18" s="1"/>
  <c r="I10" i="18" s="1"/>
  <c r="E15" i="18"/>
  <c r="F15" i="18"/>
  <c r="C27" i="18"/>
  <c r="D27" i="18"/>
  <c r="E27" i="18"/>
  <c r="E32" i="18" s="1"/>
  <c r="F27" i="18"/>
  <c r="F32" i="18" s="1"/>
  <c r="C41" i="18"/>
  <c r="D41" i="18"/>
  <c r="E41" i="18"/>
  <c r="F41" i="18"/>
  <c r="R26" i="17"/>
  <c r="W26" i="17" s="1"/>
  <c r="Q26" i="17"/>
  <c r="V26" i="17" s="1"/>
  <c r="P26" i="17"/>
  <c r="U26" i="17" s="1"/>
  <c r="O26" i="17"/>
  <c r="T26" i="17" s="1"/>
  <c r="W21" i="17"/>
  <c r="W22" i="17"/>
  <c r="W23" i="17"/>
  <c r="W24" i="17"/>
  <c r="W30" i="17"/>
  <c r="W31" i="17"/>
  <c r="W32" i="17"/>
  <c r="W34" i="17"/>
  <c r="W35" i="17"/>
  <c r="W36" i="17"/>
  <c r="V21" i="17"/>
  <c r="V22" i="17"/>
  <c r="V23" i="17"/>
  <c r="V24" i="17"/>
  <c r="V30" i="17"/>
  <c r="V31" i="17"/>
  <c r="V32" i="17"/>
  <c r="V34" i="17"/>
  <c r="V35" i="17"/>
  <c r="V36" i="17"/>
  <c r="U21" i="17"/>
  <c r="U22" i="17"/>
  <c r="U23" i="17"/>
  <c r="U24" i="17"/>
  <c r="U30" i="17"/>
  <c r="U31" i="17"/>
  <c r="U32" i="17"/>
  <c r="U34" i="17"/>
  <c r="U35" i="17"/>
  <c r="U36" i="17"/>
  <c r="T21" i="17"/>
  <c r="T22" i="17"/>
  <c r="T23" i="17"/>
  <c r="T24" i="17"/>
  <c r="T30" i="17"/>
  <c r="T31" i="17"/>
  <c r="T32" i="17"/>
  <c r="T34" i="17"/>
  <c r="T35" i="17"/>
  <c r="T36" i="17"/>
  <c r="W8" i="17"/>
  <c r="W10" i="17"/>
  <c r="W11" i="17"/>
  <c r="W14" i="17"/>
  <c r="W15" i="17"/>
  <c r="W17" i="17"/>
  <c r="V8" i="17"/>
  <c r="V10" i="17"/>
  <c r="V11" i="17"/>
  <c r="V14" i="17"/>
  <c r="V15" i="17"/>
  <c r="V17" i="17"/>
  <c r="U8" i="17"/>
  <c r="U10" i="17"/>
  <c r="U11" i="17"/>
  <c r="U14" i="17"/>
  <c r="U15" i="17"/>
  <c r="U17" i="17"/>
  <c r="T8" i="17"/>
  <c r="T10" i="17"/>
  <c r="T11" i="17"/>
  <c r="T14" i="17"/>
  <c r="T15" i="17"/>
  <c r="T17" i="17"/>
  <c r="W7" i="17"/>
  <c r="V7" i="17"/>
  <c r="U7" i="17"/>
  <c r="T7" i="17"/>
  <c r="O12" i="17"/>
  <c r="T12" i="17" s="1"/>
  <c r="P12" i="17"/>
  <c r="U12" i="17" s="1"/>
  <c r="Q12" i="17"/>
  <c r="V12" i="17" s="1"/>
  <c r="R12" i="17"/>
  <c r="W12" i="17" s="1"/>
  <c r="O29" i="17"/>
  <c r="T29" i="17" s="1"/>
  <c r="P29" i="17"/>
  <c r="U29" i="17" s="1"/>
  <c r="Q29" i="17"/>
  <c r="V29" i="17" s="1"/>
  <c r="R29" i="17"/>
  <c r="W29" i="17" s="1"/>
  <c r="O9" i="17"/>
  <c r="P9" i="17"/>
  <c r="U9" i="17" s="1"/>
  <c r="Q9" i="17"/>
  <c r="V9" i="17" s="1"/>
  <c r="R9" i="17"/>
  <c r="AD61" i="17"/>
  <c r="AC61" i="17"/>
  <c r="AB61" i="17"/>
  <c r="AA61" i="17"/>
  <c r="AD49" i="17"/>
  <c r="AI49" i="17" s="1"/>
  <c r="AC49" i="17"/>
  <c r="AH48" i="17" s="1"/>
  <c r="AB49" i="17"/>
  <c r="AG47" i="17" s="1"/>
  <c r="AA49" i="17"/>
  <c r="AF48" i="17" s="1"/>
  <c r="AD43" i="17"/>
  <c r="AI39" i="17" s="1"/>
  <c r="AC43" i="17"/>
  <c r="AH42" i="17" s="1"/>
  <c r="AB43" i="17"/>
  <c r="AG34" i="17" s="1"/>
  <c r="AA43" i="17"/>
  <c r="AF35" i="17" s="1"/>
  <c r="AD32" i="17"/>
  <c r="AI25" i="17" s="1"/>
  <c r="AC32" i="17"/>
  <c r="AH25" i="17" s="1"/>
  <c r="AB32" i="17"/>
  <c r="AG25" i="17" s="1"/>
  <c r="AA32" i="17"/>
  <c r="AF26" i="17" s="1"/>
  <c r="AD23" i="17"/>
  <c r="AI8" i="17" s="1"/>
  <c r="AC23" i="17"/>
  <c r="AH8" i="17" s="1"/>
  <c r="AB23" i="17"/>
  <c r="AG8" i="17" s="1"/>
  <c r="AA23" i="17"/>
  <c r="AF8" i="17" s="1"/>
  <c r="F47" i="17"/>
  <c r="E47" i="17"/>
  <c r="D47" i="17"/>
  <c r="C47" i="17"/>
  <c r="F30" i="17"/>
  <c r="F36" i="17" s="1"/>
  <c r="E30" i="17"/>
  <c r="E36" i="17" s="1"/>
  <c r="D30" i="17"/>
  <c r="D36" i="17" s="1"/>
  <c r="C30" i="17"/>
  <c r="C36" i="17" s="1"/>
  <c r="F15" i="17"/>
  <c r="F21" i="17" s="1"/>
  <c r="K9" i="17" s="1"/>
  <c r="E15" i="17"/>
  <c r="E21" i="17" s="1"/>
  <c r="J9" i="17" s="1"/>
  <c r="D15" i="17"/>
  <c r="D21" i="17" s="1"/>
  <c r="I9" i="17" s="1"/>
  <c r="C15" i="17"/>
  <c r="C21" i="17" s="1"/>
  <c r="H9" i="17" s="1"/>
  <c r="D24" i="8"/>
  <c r="E65" i="8"/>
  <c r="F65" i="8"/>
  <c r="G65" i="8"/>
  <c r="D65" i="8"/>
  <c r="K116" i="13"/>
  <c r="L116" i="13"/>
  <c r="J116" i="13"/>
  <c r="H116" i="13"/>
  <c r="I116" i="13"/>
  <c r="G116" i="13"/>
  <c r="K115" i="13"/>
  <c r="L115" i="13"/>
  <c r="J115" i="13"/>
  <c r="H115" i="13"/>
  <c r="I115" i="13"/>
  <c r="G115" i="13"/>
  <c r="J80" i="8"/>
  <c r="K80" i="8"/>
  <c r="L80" i="8"/>
  <c r="I80" i="8"/>
  <c r="G28" i="22" s="1"/>
  <c r="J78" i="8"/>
  <c r="I7" i="28" s="1"/>
  <c r="K78" i="8"/>
  <c r="J7" i="28" s="1"/>
  <c r="L78" i="8"/>
  <c r="K7" i="28" s="1"/>
  <c r="I78" i="8"/>
  <c r="H7" i="28" s="1"/>
  <c r="J65" i="8"/>
  <c r="K65" i="8"/>
  <c r="L65" i="8"/>
  <c r="I65" i="8"/>
  <c r="J64" i="8"/>
  <c r="K64" i="8"/>
  <c r="L64" i="8"/>
  <c r="I64" i="8"/>
  <c r="L63" i="8"/>
  <c r="J63" i="8"/>
  <c r="K63" i="8"/>
  <c r="I63" i="8"/>
  <c r="J62" i="8"/>
  <c r="K62" i="8"/>
  <c r="L62" i="8"/>
  <c r="I62" i="8"/>
  <c r="J61" i="8"/>
  <c r="K61" i="8"/>
  <c r="L61" i="8"/>
  <c r="I61" i="8"/>
  <c r="J49" i="8"/>
  <c r="K49" i="8"/>
  <c r="L49" i="8"/>
  <c r="I49" i="8"/>
  <c r="J45" i="8"/>
  <c r="K45" i="8"/>
  <c r="L45" i="8"/>
  <c r="I45" i="8"/>
  <c r="K27" i="8"/>
  <c r="K26" i="8"/>
  <c r="K25" i="8"/>
  <c r="W25" i="8" s="1"/>
  <c r="K24" i="8"/>
  <c r="K23" i="8"/>
  <c r="K22" i="8"/>
  <c r="K21" i="8"/>
  <c r="J27" i="8"/>
  <c r="L27" i="8"/>
  <c r="I27" i="8"/>
  <c r="J26" i="8"/>
  <c r="L26" i="8"/>
  <c r="I26" i="8"/>
  <c r="J25" i="8"/>
  <c r="I25" i="8"/>
  <c r="J24" i="8"/>
  <c r="L24" i="8"/>
  <c r="I24" i="8"/>
  <c r="J21" i="8"/>
  <c r="L21" i="8"/>
  <c r="L30" i="8" s="1"/>
  <c r="I21" i="8"/>
  <c r="J22" i="8"/>
  <c r="L22" i="8"/>
  <c r="I22" i="8"/>
  <c r="L23" i="8"/>
  <c r="J23" i="8"/>
  <c r="I23" i="8"/>
  <c r="J10" i="8"/>
  <c r="K10" i="8"/>
  <c r="L10" i="8"/>
  <c r="I10" i="8"/>
  <c r="J9" i="8"/>
  <c r="K9" i="8"/>
  <c r="L9" i="8"/>
  <c r="I9" i="8"/>
  <c r="J8" i="8"/>
  <c r="K8" i="8"/>
  <c r="L8" i="8"/>
  <c r="I8" i="8"/>
  <c r="J7" i="8"/>
  <c r="K7" i="8"/>
  <c r="L7" i="8"/>
  <c r="I7" i="8"/>
  <c r="J59" i="13" s="1"/>
  <c r="E80" i="8"/>
  <c r="F80" i="8"/>
  <c r="G80" i="8"/>
  <c r="D80" i="8"/>
  <c r="D28" i="22" s="1"/>
  <c r="E78" i="8"/>
  <c r="D7" i="28" s="1"/>
  <c r="F78" i="8"/>
  <c r="G78" i="8"/>
  <c r="F7" i="28" s="1"/>
  <c r="D78" i="8"/>
  <c r="C7" i="28" s="1"/>
  <c r="E64" i="8"/>
  <c r="H17" i="13" s="1"/>
  <c r="F64" i="8"/>
  <c r="I17" i="13" s="1"/>
  <c r="G64" i="8"/>
  <c r="D64" i="8"/>
  <c r="D63" i="8"/>
  <c r="Q63" i="8" s="1"/>
  <c r="E62" i="8"/>
  <c r="F62" i="8"/>
  <c r="G62" i="8"/>
  <c r="D62" i="8"/>
  <c r="E61" i="8"/>
  <c r="F61" i="8"/>
  <c r="G61" i="8"/>
  <c r="D61" i="8"/>
  <c r="E49" i="8"/>
  <c r="F49" i="8"/>
  <c r="G49" i="8"/>
  <c r="D49" i="8"/>
  <c r="E48" i="8"/>
  <c r="F48" i="8"/>
  <c r="G48" i="8"/>
  <c r="D48" i="8"/>
  <c r="E47" i="8"/>
  <c r="F47" i="8"/>
  <c r="G47" i="8"/>
  <c r="D47" i="8"/>
  <c r="E46" i="8"/>
  <c r="F46" i="8"/>
  <c r="G46" i="8"/>
  <c r="D46" i="8"/>
  <c r="E45" i="8"/>
  <c r="F45" i="8"/>
  <c r="G45" i="8"/>
  <c r="D45" i="8"/>
  <c r="E27" i="8"/>
  <c r="F27" i="8"/>
  <c r="G27" i="8"/>
  <c r="D27" i="8"/>
  <c r="E26" i="8"/>
  <c r="F26" i="8"/>
  <c r="G26" i="8"/>
  <c r="D26" i="8"/>
  <c r="E25" i="8"/>
  <c r="F25" i="8"/>
  <c r="G25" i="8"/>
  <c r="D25" i="8"/>
  <c r="E24" i="8"/>
  <c r="F24" i="8"/>
  <c r="G24" i="8"/>
  <c r="G77" i="8" s="1"/>
  <c r="F23" i="8"/>
  <c r="G23" i="8"/>
  <c r="E23" i="8"/>
  <c r="D23" i="8"/>
  <c r="E22" i="8"/>
  <c r="F22" i="8"/>
  <c r="G22" i="8"/>
  <c r="D22" i="8"/>
  <c r="E21" i="8"/>
  <c r="F21" i="8"/>
  <c r="G21" i="8"/>
  <c r="D21" i="8"/>
  <c r="E10" i="8"/>
  <c r="F10" i="8"/>
  <c r="G10" i="8"/>
  <c r="D10" i="8"/>
  <c r="G60" i="13" s="1"/>
  <c r="E9" i="8"/>
  <c r="F9" i="8"/>
  <c r="G9" i="8"/>
  <c r="D9" i="8"/>
  <c r="E8" i="8"/>
  <c r="F8" i="8"/>
  <c r="G8" i="8"/>
  <c r="D8" i="8"/>
  <c r="E7" i="8"/>
  <c r="F7" i="8"/>
  <c r="G7" i="8"/>
  <c r="D7" i="8"/>
  <c r="G59" i="13" s="1"/>
  <c r="E77" i="8" l="1"/>
  <c r="R77" i="8" s="1"/>
  <c r="D77" i="8"/>
  <c r="D84" i="8" s="1"/>
  <c r="D29" i="22"/>
  <c r="D31" i="22" s="1"/>
  <c r="K11" i="22" s="1"/>
  <c r="AF11" i="24"/>
  <c r="AE11" i="24"/>
  <c r="AD11" i="24"/>
  <c r="AA11" i="24"/>
  <c r="AB11" i="24"/>
  <c r="Z11" i="24"/>
  <c r="H8" i="28"/>
  <c r="H9" i="28" s="1"/>
  <c r="U8" i="28" s="1"/>
  <c r="H16" i="23"/>
  <c r="C8" i="28"/>
  <c r="C9" i="28" s="1"/>
  <c r="O8" i="28" s="1"/>
  <c r="E22" i="24"/>
  <c r="D22" i="24"/>
  <c r="C22" i="24"/>
  <c r="K22" i="24"/>
  <c r="J22" i="24"/>
  <c r="I22" i="24"/>
  <c r="S77" i="8"/>
  <c r="G84" i="8"/>
  <c r="H22" i="24"/>
  <c r="E84" i="8"/>
  <c r="I31" i="13"/>
  <c r="I29" i="13" s="1"/>
  <c r="F84" i="8"/>
  <c r="F22" i="24"/>
  <c r="K11" i="28"/>
  <c r="X9" i="28" s="1"/>
  <c r="K10" i="24"/>
  <c r="K13" i="24" s="1"/>
  <c r="I11" i="28"/>
  <c r="V9" i="28" s="1"/>
  <c r="I10" i="24"/>
  <c r="I13" i="24" s="1"/>
  <c r="E11" i="28"/>
  <c r="Q9" i="28" s="1"/>
  <c r="E10" i="24"/>
  <c r="E13" i="24" s="1"/>
  <c r="D11" i="28"/>
  <c r="P9" i="28" s="1"/>
  <c r="D10" i="24"/>
  <c r="D13" i="24" s="1"/>
  <c r="F11" i="28"/>
  <c r="R9" i="28" s="1"/>
  <c r="F10" i="24"/>
  <c r="F13" i="24" s="1"/>
  <c r="C11" i="28"/>
  <c r="O9" i="28" s="1"/>
  <c r="C10" i="24"/>
  <c r="C13" i="24" s="1"/>
  <c r="K15" i="23"/>
  <c r="K17" i="23" s="1"/>
  <c r="X10" i="23" s="1"/>
  <c r="K7" i="24"/>
  <c r="K9" i="24" s="1"/>
  <c r="K14" i="24" s="1"/>
  <c r="F15" i="23"/>
  <c r="F17" i="23" s="1"/>
  <c r="R10" i="23" s="1"/>
  <c r="F7" i="24"/>
  <c r="F9" i="24" s="1"/>
  <c r="E15" i="23"/>
  <c r="E7" i="24"/>
  <c r="E9" i="24" s="1"/>
  <c r="D15" i="23"/>
  <c r="D7" i="24"/>
  <c r="D9" i="24" s="1"/>
  <c r="D14" i="24" s="1"/>
  <c r="E16" i="23"/>
  <c r="J47" i="19"/>
  <c r="D16" i="23"/>
  <c r="I47" i="19"/>
  <c r="C16" i="23"/>
  <c r="H47" i="19"/>
  <c r="K13" i="28"/>
  <c r="X10" i="28" s="1"/>
  <c r="K12" i="23"/>
  <c r="K13" i="23" s="1"/>
  <c r="X9" i="23" s="1"/>
  <c r="E13" i="28"/>
  <c r="Q10" i="28" s="1"/>
  <c r="E12" i="23"/>
  <c r="E13" i="23" s="1"/>
  <c r="Q9" i="23" s="1"/>
  <c r="F13" i="28"/>
  <c r="R10" i="28" s="1"/>
  <c r="F12" i="23"/>
  <c r="F13" i="23" s="1"/>
  <c r="R9" i="23" s="1"/>
  <c r="D13" i="28"/>
  <c r="P10" i="28" s="1"/>
  <c r="D12" i="23"/>
  <c r="D13" i="23" s="1"/>
  <c r="P9" i="23" s="1"/>
  <c r="K9" i="28"/>
  <c r="I9" i="28"/>
  <c r="V8" i="28" s="1"/>
  <c r="J9" i="28"/>
  <c r="D9" i="28"/>
  <c r="P8" i="28" s="1"/>
  <c r="F9" i="28"/>
  <c r="R8" i="28" s="1"/>
  <c r="E7" i="28"/>
  <c r="J32" i="13"/>
  <c r="E90" i="8"/>
  <c r="D90" i="8"/>
  <c r="K32" i="13"/>
  <c r="U79" i="8"/>
  <c r="I32" i="13"/>
  <c r="S79" i="8"/>
  <c r="Q79" i="8"/>
  <c r="R79" i="8"/>
  <c r="V24" i="8"/>
  <c r="AI36" i="18"/>
  <c r="AF9" i="19"/>
  <c r="AQ12" i="19"/>
  <c r="BC43" i="19"/>
  <c r="Q46" i="8"/>
  <c r="BC61" i="19"/>
  <c r="AI14" i="18"/>
  <c r="AE12" i="19"/>
  <c r="AE29" i="19"/>
  <c r="AP26" i="19"/>
  <c r="BB23" i="19"/>
  <c r="R27" i="8"/>
  <c r="V21" i="8"/>
  <c r="Q23" i="8"/>
  <c r="BM45" i="19"/>
  <c r="BO45" i="19"/>
  <c r="Q25" i="8"/>
  <c r="Q48" i="8"/>
  <c r="Q62" i="8"/>
  <c r="U62" i="8"/>
  <c r="U65" i="8"/>
  <c r="AR9" i="19"/>
  <c r="V9" i="8"/>
  <c r="BB32" i="19"/>
  <c r="BB49" i="19"/>
  <c r="W49" i="8"/>
  <c r="W23" i="8"/>
  <c r="S65" i="8"/>
  <c r="Q47" i="8"/>
  <c r="Q61" i="8"/>
  <c r="Q42" i="19"/>
  <c r="Q44" i="19" s="1"/>
  <c r="R46" i="8"/>
  <c r="W27" i="8"/>
  <c r="U22" i="8"/>
  <c r="BM36" i="19"/>
  <c r="BO26" i="19"/>
  <c r="U61" i="8"/>
  <c r="U64" i="8"/>
  <c r="BM26" i="19"/>
  <c r="R9" i="8"/>
  <c r="Q21" i="8"/>
  <c r="Q49" i="8"/>
  <c r="Q10" i="8"/>
  <c r="W21" i="8"/>
  <c r="W63" i="8"/>
  <c r="R65" i="8"/>
  <c r="U15" i="19"/>
  <c r="BD32" i="19"/>
  <c r="R23" i="8"/>
  <c r="V63" i="8"/>
  <c r="W78" i="8"/>
  <c r="T15" i="19"/>
  <c r="AF26" i="19"/>
  <c r="AQ9" i="19"/>
  <c r="BC32" i="19"/>
  <c r="BC49" i="19"/>
  <c r="BN36" i="19"/>
  <c r="S15" i="19"/>
  <c r="R7" i="8"/>
  <c r="V7" i="8"/>
  <c r="V10" i="8"/>
  <c r="W24" i="8"/>
  <c r="C48" i="19"/>
  <c r="AQ26" i="19"/>
  <c r="BN45" i="19"/>
  <c r="BN26" i="19"/>
  <c r="S24" i="8"/>
  <c r="S27" i="8"/>
  <c r="S61" i="8"/>
  <c r="V23" i="8"/>
  <c r="W61" i="8"/>
  <c r="S21" i="8"/>
  <c r="R47" i="8"/>
  <c r="V61" i="8"/>
  <c r="V64" i="8"/>
  <c r="S47" i="8"/>
  <c r="V25" i="8"/>
  <c r="W64" i="8"/>
  <c r="S8" i="8"/>
  <c r="R61" i="8"/>
  <c r="H15" i="19"/>
  <c r="S27" i="19"/>
  <c r="Q22" i="8"/>
  <c r="U9" i="8"/>
  <c r="V26" i="8"/>
  <c r="AR12" i="19"/>
  <c r="BO40" i="19"/>
  <c r="BO20" i="19"/>
  <c r="J30" i="19"/>
  <c r="J15" i="19"/>
  <c r="P21" i="19"/>
  <c r="J7" i="24" s="1"/>
  <c r="J9" i="24" s="1"/>
  <c r="BN40" i="19"/>
  <c r="R8" i="8"/>
  <c r="R78" i="8"/>
  <c r="V8" i="8"/>
  <c r="U27" i="8"/>
  <c r="S22" i="8"/>
  <c r="R25" i="8"/>
  <c r="R45" i="8"/>
  <c r="R48" i="8"/>
  <c r="O21" i="19"/>
  <c r="BM20" i="19"/>
  <c r="R22" i="8"/>
  <c r="Q26" i="8"/>
  <c r="V27" i="8"/>
  <c r="U49" i="8"/>
  <c r="U63" i="8"/>
  <c r="U78" i="8"/>
  <c r="BN20" i="19"/>
  <c r="Q64" i="8"/>
  <c r="U7" i="8"/>
  <c r="U10" i="8"/>
  <c r="N21" i="19"/>
  <c r="AE9" i="19"/>
  <c r="AP12" i="19"/>
  <c r="BB43" i="19"/>
  <c r="BB61" i="19"/>
  <c r="BM40" i="19"/>
  <c r="S26" i="8"/>
  <c r="S46" i="8"/>
  <c r="S49" i="8"/>
  <c r="U24" i="8"/>
  <c r="W22" i="8"/>
  <c r="Q77" i="8"/>
  <c r="U41" i="19"/>
  <c r="BO36" i="19"/>
  <c r="R26" i="8"/>
  <c r="R49" i="8"/>
  <c r="W7" i="8"/>
  <c r="W10" i="8"/>
  <c r="V49" i="8"/>
  <c r="V78" i="8"/>
  <c r="Q7" i="8"/>
  <c r="S7" i="8"/>
  <c r="S10" i="8"/>
  <c r="R10" i="8"/>
  <c r="S23" i="8"/>
  <c r="Q27" i="8"/>
  <c r="S41" i="19"/>
  <c r="Q78" i="8"/>
  <c r="U8" i="8"/>
  <c r="U23" i="8"/>
  <c r="U25" i="8"/>
  <c r="W26" i="8"/>
  <c r="W8" i="8"/>
  <c r="U26" i="8"/>
  <c r="R21" i="8"/>
  <c r="Q45" i="8"/>
  <c r="Q8" i="8"/>
  <c r="S25" i="8"/>
  <c r="S45" i="8"/>
  <c r="S48" i="8"/>
  <c r="S62" i="8"/>
  <c r="V22" i="8"/>
  <c r="W62" i="8"/>
  <c r="W65" i="8"/>
  <c r="Q65" i="8"/>
  <c r="Q9" i="8"/>
  <c r="S9" i="8"/>
  <c r="R62" i="8"/>
  <c r="W9" i="8"/>
  <c r="U21" i="8"/>
  <c r="V62" i="8"/>
  <c r="V65" i="8"/>
  <c r="AF32" i="18"/>
  <c r="AC13" i="19"/>
  <c r="AC16" i="19" s="1"/>
  <c r="AC19" i="19" s="1"/>
  <c r="AF30" i="18"/>
  <c r="U27" i="19"/>
  <c r="AG12" i="19"/>
  <c r="AG29" i="19"/>
  <c r="AR26" i="19"/>
  <c r="BD23" i="19"/>
  <c r="S78" i="8"/>
  <c r="AH20" i="18"/>
  <c r="AF12" i="19"/>
  <c r="AF29" i="19"/>
  <c r="BC23" i="19"/>
  <c r="R64" i="8"/>
  <c r="R80" i="8"/>
  <c r="F48" i="19"/>
  <c r="F50" i="19" s="1"/>
  <c r="AB13" i="19"/>
  <c r="AB16" i="19" s="1"/>
  <c r="AB19" i="19" s="1"/>
  <c r="BD43" i="19"/>
  <c r="BD61" i="19"/>
  <c r="R24" i="8"/>
  <c r="AA13" i="19"/>
  <c r="AA16" i="19" s="1"/>
  <c r="AA19" i="19" s="1"/>
  <c r="I30" i="19"/>
  <c r="I15" i="19"/>
  <c r="AG9" i="19"/>
  <c r="AH26" i="18"/>
  <c r="AF36" i="17"/>
  <c r="H30" i="19"/>
  <c r="AF36" i="18"/>
  <c r="AG26" i="19"/>
  <c r="BD49" i="19"/>
  <c r="Q80" i="8"/>
  <c r="AF35" i="18"/>
  <c r="Q24" i="8"/>
  <c r="S64" i="8"/>
  <c r="AE26" i="19"/>
  <c r="S80" i="8"/>
  <c r="O42" i="19"/>
  <c r="E48" i="19"/>
  <c r="J36" i="19"/>
  <c r="D48" i="19"/>
  <c r="I36" i="19"/>
  <c r="AI26" i="18"/>
  <c r="AH22" i="18"/>
  <c r="AI18" i="18"/>
  <c r="N32" i="19"/>
  <c r="AK13" i="19"/>
  <c r="T41" i="19"/>
  <c r="AP9" i="19"/>
  <c r="AF18" i="18"/>
  <c r="AH18" i="18"/>
  <c r="AI12" i="18"/>
  <c r="AH17" i="18"/>
  <c r="AI11" i="18"/>
  <c r="AH14" i="18"/>
  <c r="AI10" i="18"/>
  <c r="H36" i="19"/>
  <c r="AH12" i="18"/>
  <c r="AH38" i="18"/>
  <c r="AH11" i="18"/>
  <c r="AI38" i="18"/>
  <c r="AI34" i="18"/>
  <c r="AH40" i="18"/>
  <c r="AG11" i="18"/>
  <c r="AI25" i="18"/>
  <c r="AI40" i="18"/>
  <c r="C21" i="19"/>
  <c r="C7" i="24" s="1"/>
  <c r="C9" i="24" s="1"/>
  <c r="AN13" i="19"/>
  <c r="AN16" i="19" s="1"/>
  <c r="AN19" i="19" s="1"/>
  <c r="T27" i="19"/>
  <c r="AG26" i="18"/>
  <c r="AI30" i="18"/>
  <c r="Z13" i="19"/>
  <c r="I21" i="19"/>
  <c r="AH35" i="18"/>
  <c r="AI22" i="18"/>
  <c r="P32" i="19"/>
  <c r="AM13" i="19"/>
  <c r="AH30" i="18"/>
  <c r="AI20" i="18"/>
  <c r="AL13" i="19"/>
  <c r="J21" i="19"/>
  <c r="AF22" i="18"/>
  <c r="AF25" i="18"/>
  <c r="AG30" i="18"/>
  <c r="AG15" i="18"/>
  <c r="AF20" i="18"/>
  <c r="AF24" i="18"/>
  <c r="AG29" i="18"/>
  <c r="AG14" i="18"/>
  <c r="AG36" i="17"/>
  <c r="AF19" i="18"/>
  <c r="AG28" i="18"/>
  <c r="AG12" i="18"/>
  <c r="AH41" i="17"/>
  <c r="AH40" i="17"/>
  <c r="AF17" i="18"/>
  <c r="AG25" i="18"/>
  <c r="AG10" i="18"/>
  <c r="AH16" i="18"/>
  <c r="AI24" i="18"/>
  <c r="AF38" i="18"/>
  <c r="AH39" i="17"/>
  <c r="AF16" i="18"/>
  <c r="AG24" i="18"/>
  <c r="AH36" i="18"/>
  <c r="AH15" i="18"/>
  <c r="AI23" i="18"/>
  <c r="AG38" i="18"/>
  <c r="AH37" i="17"/>
  <c r="AF15" i="18"/>
  <c r="AG23" i="18"/>
  <c r="AH36" i="17"/>
  <c r="AF14" i="18"/>
  <c r="AG36" i="18"/>
  <c r="AG22" i="18"/>
  <c r="AH35" i="17"/>
  <c r="AF12" i="18"/>
  <c r="AG35" i="18"/>
  <c r="AG20" i="18"/>
  <c r="AF40" i="18"/>
  <c r="AI42" i="17"/>
  <c r="AF11" i="18"/>
  <c r="AG33" i="18"/>
  <c r="AG18" i="18"/>
  <c r="AH25" i="18"/>
  <c r="AH10" i="18"/>
  <c r="AI17" i="18"/>
  <c r="AI36" i="17"/>
  <c r="AF10" i="18"/>
  <c r="AG32" i="18"/>
  <c r="AG17" i="18"/>
  <c r="AH24" i="18"/>
  <c r="AI16" i="18"/>
  <c r="AG40" i="18"/>
  <c r="AG31" i="18"/>
  <c r="AG16" i="18"/>
  <c r="AH23" i="18"/>
  <c r="AI35" i="18"/>
  <c r="AI15" i="18"/>
  <c r="AF47" i="17"/>
  <c r="AI34" i="17"/>
  <c r="AI38" i="17"/>
  <c r="AF43" i="17"/>
  <c r="AG43" i="17"/>
  <c r="AI37" i="17"/>
  <c r="AF42" i="17"/>
  <c r="AG42" i="17"/>
  <c r="AF41" i="17"/>
  <c r="AG41" i="17"/>
  <c r="AH38" i="17"/>
  <c r="AI35" i="17"/>
  <c r="AF40" i="17"/>
  <c r="AG40" i="17"/>
  <c r="AF46" i="17"/>
  <c r="AF39" i="17"/>
  <c r="AG39" i="17"/>
  <c r="AG46" i="17"/>
  <c r="AF38" i="17"/>
  <c r="AG38" i="17"/>
  <c r="AH46" i="17"/>
  <c r="AF37" i="17"/>
  <c r="AG37" i="17"/>
  <c r="AI43" i="17"/>
  <c r="AI46" i="17"/>
  <c r="AF34" i="17"/>
  <c r="AG35" i="17"/>
  <c r="AI41" i="17"/>
  <c r="AF49" i="17"/>
  <c r="AH43" i="17"/>
  <c r="AI40" i="17"/>
  <c r="AH34" i="17"/>
  <c r="H20" i="18"/>
  <c r="Q13" i="18"/>
  <c r="Q16" i="18" s="1"/>
  <c r="Q19" i="18" s="1"/>
  <c r="H19" i="18"/>
  <c r="P13" i="18"/>
  <c r="P16" i="18" s="1"/>
  <c r="U16" i="18" s="1"/>
  <c r="H13" i="18"/>
  <c r="I20" i="18"/>
  <c r="I19" i="18"/>
  <c r="I13" i="18"/>
  <c r="I12" i="18"/>
  <c r="I15" i="18"/>
  <c r="H9" i="18"/>
  <c r="E42" i="18"/>
  <c r="J27" i="18" s="1"/>
  <c r="C32" i="18"/>
  <c r="H10" i="18"/>
  <c r="F42" i="18"/>
  <c r="R13" i="18"/>
  <c r="H21" i="18"/>
  <c r="I21" i="18"/>
  <c r="O13" i="18"/>
  <c r="H18" i="18"/>
  <c r="I18" i="18"/>
  <c r="F21" i="18"/>
  <c r="K15" i="18" s="1"/>
  <c r="H17" i="18"/>
  <c r="I17" i="18"/>
  <c r="E21" i="18"/>
  <c r="H16" i="18"/>
  <c r="H15" i="18"/>
  <c r="I14" i="18"/>
  <c r="H14" i="18"/>
  <c r="I9" i="18"/>
  <c r="H12" i="18"/>
  <c r="I11" i="18"/>
  <c r="D32" i="18"/>
  <c r="O13" i="17"/>
  <c r="O16" i="17" s="1"/>
  <c r="R13" i="17"/>
  <c r="R16" i="17" s="1"/>
  <c r="R19" i="17" s="1"/>
  <c r="W9" i="17"/>
  <c r="T9" i="17"/>
  <c r="Q13" i="17"/>
  <c r="P13" i="17"/>
  <c r="AG12" i="17"/>
  <c r="AH32" i="17"/>
  <c r="AG18" i="17"/>
  <c r="AI17" i="17"/>
  <c r="AI16" i="17"/>
  <c r="AH31" i="17"/>
  <c r="AI47" i="17"/>
  <c r="AH17" i="17"/>
  <c r="AH16" i="17"/>
  <c r="AH15" i="17"/>
  <c r="AI26" i="17"/>
  <c r="AI31" i="17"/>
  <c r="AG17" i="17"/>
  <c r="AI30" i="17"/>
  <c r="AG16" i="17"/>
  <c r="AI29" i="17"/>
  <c r="AG14" i="17"/>
  <c r="AI27" i="17"/>
  <c r="AF25" i="17"/>
  <c r="AG23" i="17"/>
  <c r="AH19" i="17"/>
  <c r="AI20" i="17"/>
  <c r="AF27" i="17"/>
  <c r="AI48" i="17"/>
  <c r="AG22" i="17"/>
  <c r="AH18" i="17"/>
  <c r="AI19" i="17"/>
  <c r="AI18" i="17"/>
  <c r="AF23" i="17"/>
  <c r="AG15" i="17"/>
  <c r="AH14" i="17"/>
  <c r="AI15" i="17"/>
  <c r="AF21" i="17"/>
  <c r="AH13" i="17"/>
  <c r="AI14" i="17"/>
  <c r="AF16" i="17"/>
  <c r="AH12" i="17"/>
  <c r="AI10" i="17"/>
  <c r="AF15" i="17"/>
  <c r="AG10" i="17"/>
  <c r="AH11" i="17"/>
  <c r="AI9" i="17"/>
  <c r="AF14" i="17"/>
  <c r="AG9" i="17"/>
  <c r="AI23" i="17"/>
  <c r="AF32" i="17"/>
  <c r="AF11" i="17"/>
  <c r="AH23" i="17"/>
  <c r="AI22" i="17"/>
  <c r="AF30" i="17"/>
  <c r="AG49" i="17"/>
  <c r="AF10" i="17"/>
  <c r="AH20" i="17"/>
  <c r="AI21" i="17"/>
  <c r="AF29" i="17"/>
  <c r="AG29" i="17"/>
  <c r="AG28" i="17"/>
  <c r="AG27" i="17"/>
  <c r="AF12" i="17"/>
  <c r="AF31" i="17"/>
  <c r="AG26" i="17"/>
  <c r="AI28" i="17"/>
  <c r="AF22" i="17"/>
  <c r="AF9" i="17"/>
  <c r="AG11" i="17"/>
  <c r="AF28" i="17"/>
  <c r="AH30" i="17"/>
  <c r="AH29" i="17"/>
  <c r="AF20" i="17"/>
  <c r="AH28" i="17"/>
  <c r="AF19" i="17"/>
  <c r="AG21" i="17"/>
  <c r="AG32" i="17"/>
  <c r="AH27" i="17"/>
  <c r="AG48" i="17"/>
  <c r="AF18" i="17"/>
  <c r="AG20" i="17"/>
  <c r="AH22" i="17"/>
  <c r="AH10" i="17"/>
  <c r="AI12" i="17"/>
  <c r="AG31" i="17"/>
  <c r="AH26" i="17"/>
  <c r="AH49" i="17"/>
  <c r="AH47" i="17"/>
  <c r="AF17" i="17"/>
  <c r="AG19" i="17"/>
  <c r="AH21" i="17"/>
  <c r="AH9" i="17"/>
  <c r="AI11" i="17"/>
  <c r="AG30" i="17"/>
  <c r="AI32" i="17"/>
  <c r="K21" i="17"/>
  <c r="K20" i="17"/>
  <c r="K19" i="17"/>
  <c r="K18" i="17"/>
  <c r="K17" i="17"/>
  <c r="K16" i="17"/>
  <c r="K15" i="17"/>
  <c r="K13" i="17"/>
  <c r="K12" i="17"/>
  <c r="K11" i="17"/>
  <c r="K10" i="17"/>
  <c r="J21" i="17"/>
  <c r="J20" i="17"/>
  <c r="J19" i="17"/>
  <c r="J18" i="17"/>
  <c r="J17" i="17"/>
  <c r="J16" i="17"/>
  <c r="J15" i="17"/>
  <c r="J13" i="17"/>
  <c r="J12" i="17"/>
  <c r="J11" i="17"/>
  <c r="J10" i="17"/>
  <c r="I21" i="17"/>
  <c r="I20" i="17"/>
  <c r="I19" i="17"/>
  <c r="I18" i="17"/>
  <c r="I17" i="17"/>
  <c r="I16" i="17"/>
  <c r="I15" i="17"/>
  <c r="I12" i="17"/>
  <c r="I13" i="17"/>
  <c r="I11" i="17"/>
  <c r="I10" i="17"/>
  <c r="E48" i="17"/>
  <c r="J30" i="17" s="1"/>
  <c r="H21" i="17"/>
  <c r="H20" i="17"/>
  <c r="H19" i="17"/>
  <c r="H18" i="17"/>
  <c r="H17" i="17"/>
  <c r="H16" i="17"/>
  <c r="H15" i="17"/>
  <c r="H13" i="17"/>
  <c r="H12" i="17"/>
  <c r="H11" i="17"/>
  <c r="H10" i="17"/>
  <c r="F48" i="17"/>
  <c r="K30" i="17" s="1"/>
  <c r="C48" i="17"/>
  <c r="D48" i="17"/>
  <c r="J16" i="13"/>
  <c r="H32" i="13"/>
  <c r="G32" i="13"/>
  <c r="H31" i="13"/>
  <c r="G31" i="13"/>
  <c r="I21" i="13"/>
  <c r="I27" i="13"/>
  <c r="H27" i="13"/>
  <c r="G27" i="13"/>
  <c r="I26" i="13"/>
  <c r="H26" i="13"/>
  <c r="G26" i="13"/>
  <c r="J15" i="13"/>
  <c r="I24" i="13"/>
  <c r="H24" i="13"/>
  <c r="G24" i="13"/>
  <c r="J22" i="13"/>
  <c r="J113" i="13" s="1"/>
  <c r="K22" i="13"/>
  <c r="K113" i="13" s="1"/>
  <c r="L22" i="13"/>
  <c r="L113" i="13" s="1"/>
  <c r="I22" i="13"/>
  <c r="I113" i="13" s="1"/>
  <c r="H22" i="13"/>
  <c r="H113" i="13" s="1"/>
  <c r="L16" i="13"/>
  <c r="K21" i="13"/>
  <c r="L21" i="13"/>
  <c r="G22" i="13"/>
  <c r="G113" i="13" s="1"/>
  <c r="J21" i="13"/>
  <c r="L17" i="13"/>
  <c r="H21" i="13"/>
  <c r="K20" i="13"/>
  <c r="L20" i="13"/>
  <c r="G21" i="13"/>
  <c r="J20" i="13"/>
  <c r="I20" i="13"/>
  <c r="H20" i="13"/>
  <c r="G20" i="13"/>
  <c r="G17" i="13"/>
  <c r="J17" i="13"/>
  <c r="K17" i="13"/>
  <c r="K16" i="13"/>
  <c r="H16" i="13"/>
  <c r="I16" i="13"/>
  <c r="G16" i="13"/>
  <c r="I67" i="8"/>
  <c r="D67" i="8"/>
  <c r="H11" i="13"/>
  <c r="H13" i="13"/>
  <c r="G13" i="13"/>
  <c r="L15" i="13"/>
  <c r="H15" i="13"/>
  <c r="I15" i="13"/>
  <c r="K15" i="13"/>
  <c r="G15" i="13"/>
  <c r="I12" i="13"/>
  <c r="L13" i="13"/>
  <c r="J13" i="13"/>
  <c r="K13" i="13"/>
  <c r="I13" i="13"/>
  <c r="K12" i="13"/>
  <c r="G12" i="13"/>
  <c r="L12" i="13"/>
  <c r="J12" i="13"/>
  <c r="H12" i="13"/>
  <c r="J11" i="13"/>
  <c r="L11" i="13"/>
  <c r="K11" i="13"/>
  <c r="G11" i="13"/>
  <c r="I11" i="13"/>
  <c r="L90" i="8"/>
  <c r="K90" i="8"/>
  <c r="I90" i="8"/>
  <c r="K30" i="8"/>
  <c r="W30" i="8" s="1"/>
  <c r="K38" i="8"/>
  <c r="L38" i="8"/>
  <c r="F90" i="8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5" i="9"/>
  <c r="G236" i="9"/>
  <c r="G237" i="9"/>
  <c r="G238" i="9"/>
  <c r="G239" i="9"/>
  <c r="G240" i="9"/>
  <c r="G241" i="9"/>
  <c r="G242" i="9"/>
  <c r="G243" i="9"/>
  <c r="G244" i="9"/>
  <c r="G245" i="9"/>
  <c r="G246" i="9"/>
  <c r="G247" i="9"/>
  <c r="G248" i="9"/>
  <c r="G249" i="9"/>
  <c r="G250" i="9"/>
  <c r="G251" i="9"/>
  <c r="G252" i="9"/>
  <c r="G253" i="9"/>
  <c r="G254" i="9"/>
  <c r="G255" i="9"/>
  <c r="G256" i="9"/>
  <c r="G257" i="9"/>
  <c r="G258" i="9"/>
  <c r="G259" i="9"/>
  <c r="G260" i="9"/>
  <c r="G261" i="9"/>
  <c r="G262" i="9"/>
  <c r="G263" i="9"/>
  <c r="G264" i="9"/>
  <c r="G265" i="9"/>
  <c r="G266" i="9"/>
  <c r="G267" i="9"/>
  <c r="G268" i="9"/>
  <c r="G269" i="9"/>
  <c r="G270" i="9"/>
  <c r="G271" i="9"/>
  <c r="G272" i="9"/>
  <c r="G273" i="9"/>
  <c r="G274" i="9"/>
  <c r="G275" i="9"/>
  <c r="G276" i="9"/>
  <c r="G277" i="9"/>
  <c r="G278" i="9"/>
  <c r="G279" i="9"/>
  <c r="G280" i="9"/>
  <c r="G281" i="9"/>
  <c r="G282" i="9"/>
  <c r="G283" i="9"/>
  <c r="G284" i="9"/>
  <c r="G285" i="9"/>
  <c r="G286" i="9"/>
  <c r="G287" i="9"/>
  <c r="G288" i="9"/>
  <c r="G289" i="9"/>
  <c r="G290" i="9"/>
  <c r="G291" i="9"/>
  <c r="G292" i="9"/>
  <c r="G293" i="9"/>
  <c r="G294" i="9"/>
  <c r="G295" i="9"/>
  <c r="G296" i="9"/>
  <c r="G297" i="9"/>
  <c r="G298" i="9"/>
  <c r="G299" i="9"/>
  <c r="G300" i="9"/>
  <c r="G301" i="9"/>
  <c r="G302" i="9"/>
  <c r="G303" i="9"/>
  <c r="G304" i="9"/>
  <c r="G305" i="9"/>
  <c r="G306" i="9"/>
  <c r="G307" i="9"/>
  <c r="G308" i="9"/>
  <c r="G309" i="9"/>
  <c r="G310" i="9"/>
  <c r="G311" i="9"/>
  <c r="G312" i="9"/>
  <c r="G313" i="9"/>
  <c r="G314" i="9"/>
  <c r="G315" i="9"/>
  <c r="G316" i="9"/>
  <c r="G317" i="9"/>
  <c r="G318" i="9"/>
  <c r="G319" i="9"/>
  <c r="G320" i="9"/>
  <c r="G321" i="9"/>
  <c r="G322" i="9"/>
  <c r="G323" i="9"/>
  <c r="G324" i="9"/>
  <c r="G325" i="9"/>
  <c r="G326" i="9"/>
  <c r="G327" i="9"/>
  <c r="G328" i="9"/>
  <c r="G329" i="9"/>
  <c r="G330" i="9"/>
  <c r="G331" i="9"/>
  <c r="G332" i="9"/>
  <c r="G333" i="9"/>
  <c r="G334" i="9"/>
  <c r="G335" i="9"/>
  <c r="G336" i="9"/>
  <c r="G337" i="9"/>
  <c r="G338" i="9"/>
  <c r="G339" i="9"/>
  <c r="G340" i="9"/>
  <c r="G341" i="9"/>
  <c r="G342" i="9"/>
  <c r="G343" i="9"/>
  <c r="G344" i="9"/>
  <c r="G345" i="9"/>
  <c r="G346" i="9"/>
  <c r="G347" i="9"/>
  <c r="G348" i="9"/>
  <c r="G349" i="9"/>
  <c r="G350" i="9"/>
  <c r="G351" i="9"/>
  <c r="G352" i="9"/>
  <c r="G353" i="9"/>
  <c r="G354" i="9"/>
  <c r="G355" i="9"/>
  <c r="G356" i="9"/>
  <c r="G357" i="9"/>
  <c r="G358" i="9"/>
  <c r="G359" i="9"/>
  <c r="G360" i="9"/>
  <c r="G361" i="9"/>
  <c r="G362" i="9"/>
  <c r="G363" i="9"/>
  <c r="G364" i="9"/>
  <c r="G365" i="9"/>
  <c r="G366" i="9"/>
  <c r="G367" i="9"/>
  <c r="G368" i="9"/>
  <c r="G369" i="9"/>
  <c r="G370" i="9"/>
  <c r="G371" i="9"/>
  <c r="G372" i="9"/>
  <c r="G373" i="9"/>
  <c r="G374" i="9"/>
  <c r="G375" i="9"/>
  <c r="G376" i="9"/>
  <c r="G377" i="9"/>
  <c r="G378" i="9"/>
  <c r="G379" i="9"/>
  <c r="G380" i="9"/>
  <c r="G381" i="9"/>
  <c r="G382" i="9"/>
  <c r="G383" i="9"/>
  <c r="G384" i="9"/>
  <c r="G385" i="9"/>
  <c r="G386" i="9"/>
  <c r="G387" i="9"/>
  <c r="G388" i="9"/>
  <c r="G389" i="9"/>
  <c r="G390" i="9"/>
  <c r="G391" i="9"/>
  <c r="G392" i="9"/>
  <c r="G393" i="9"/>
  <c r="G394" i="9"/>
  <c r="G395" i="9"/>
  <c r="G396" i="9"/>
  <c r="G397" i="9"/>
  <c r="G398" i="9"/>
  <c r="G399" i="9"/>
  <c r="G400" i="9"/>
  <c r="G401" i="9"/>
  <c r="G402" i="9"/>
  <c r="G403" i="9"/>
  <c r="G404" i="9"/>
  <c r="G405" i="9"/>
  <c r="G406" i="9"/>
  <c r="G407" i="9"/>
  <c r="G408" i="9"/>
  <c r="G409" i="9"/>
  <c r="G410" i="9"/>
  <c r="G411" i="9"/>
  <c r="G412" i="9"/>
  <c r="G413" i="9"/>
  <c r="G414" i="9"/>
  <c r="G415" i="9"/>
  <c r="G416" i="9"/>
  <c r="G417" i="9"/>
  <c r="G418" i="9"/>
  <c r="G419" i="9"/>
  <c r="G420" i="9"/>
  <c r="G421" i="9"/>
  <c r="G422" i="9"/>
  <c r="G423" i="9"/>
  <c r="G424" i="9"/>
  <c r="G425" i="9"/>
  <c r="G426" i="9"/>
  <c r="G427" i="9"/>
  <c r="G428" i="9"/>
  <c r="G429" i="9"/>
  <c r="G430" i="9"/>
  <c r="G431" i="9"/>
  <c r="G432" i="9"/>
  <c r="G433" i="9"/>
  <c r="G434" i="9"/>
  <c r="G435" i="9"/>
  <c r="G436" i="9"/>
  <c r="G437" i="9"/>
  <c r="G438" i="9"/>
  <c r="G439" i="9"/>
  <c r="G440" i="9"/>
  <c r="G441" i="9"/>
  <c r="G442" i="9"/>
  <c r="G443" i="9"/>
  <c r="G444" i="9"/>
  <c r="G445" i="9"/>
  <c r="G446" i="9"/>
  <c r="G447" i="9"/>
  <c r="G448" i="9"/>
  <c r="G449" i="9"/>
  <c r="G450" i="9"/>
  <c r="G451" i="9"/>
  <c r="G452" i="9"/>
  <c r="G453" i="9"/>
  <c r="G454" i="9"/>
  <c r="G455" i="9"/>
  <c r="G456" i="9"/>
  <c r="G457" i="9"/>
  <c r="G458" i="9"/>
  <c r="G459" i="9"/>
  <c r="G460" i="9"/>
  <c r="G461" i="9"/>
  <c r="G462" i="9"/>
  <c r="G463" i="9"/>
  <c r="G464" i="9"/>
  <c r="G465" i="9"/>
  <c r="G466" i="9"/>
  <c r="G467" i="9"/>
  <c r="G468" i="9"/>
  <c r="G469" i="9"/>
  <c r="G470" i="9"/>
  <c r="G471" i="9"/>
  <c r="G472" i="9"/>
  <c r="G473" i="9"/>
  <c r="G474" i="9"/>
  <c r="G475" i="9"/>
  <c r="G476" i="9"/>
  <c r="G477" i="9"/>
  <c r="G478" i="9"/>
  <c r="G479" i="9"/>
  <c r="G480" i="9"/>
  <c r="G481" i="9"/>
  <c r="G482" i="9"/>
  <c r="G483" i="9"/>
  <c r="G484" i="9"/>
  <c r="G485" i="9"/>
  <c r="G486" i="9"/>
  <c r="G487" i="9"/>
  <c r="G488" i="9"/>
  <c r="G489" i="9"/>
  <c r="G490" i="9"/>
  <c r="G491" i="9"/>
  <c r="G492" i="9"/>
  <c r="G493" i="9"/>
  <c r="G494" i="9"/>
  <c r="G495" i="9"/>
  <c r="G496" i="9"/>
  <c r="G497" i="9"/>
  <c r="G498" i="9"/>
  <c r="G499" i="9"/>
  <c r="G500" i="9"/>
  <c r="G501" i="9"/>
  <c r="G502" i="9"/>
  <c r="G503" i="9"/>
  <c r="G504" i="9"/>
  <c r="G505" i="9"/>
  <c r="G506" i="9"/>
  <c r="G507" i="9"/>
  <c r="G508" i="9"/>
  <c r="G509" i="9"/>
  <c r="G510" i="9"/>
  <c r="G511" i="9"/>
  <c r="G512" i="9"/>
  <c r="G513" i="9"/>
  <c r="G514" i="9"/>
  <c r="G515" i="9"/>
  <c r="G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274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  <c r="E288" i="9"/>
  <c r="E289" i="9"/>
  <c r="E290" i="9"/>
  <c r="E291" i="9"/>
  <c r="E292" i="9"/>
  <c r="E293" i="9"/>
  <c r="E294" i="9"/>
  <c r="E295" i="9"/>
  <c r="E296" i="9"/>
  <c r="E297" i="9"/>
  <c r="E298" i="9"/>
  <c r="E299" i="9"/>
  <c r="E300" i="9"/>
  <c r="E301" i="9"/>
  <c r="E302" i="9"/>
  <c r="E303" i="9"/>
  <c r="E304" i="9"/>
  <c r="E305" i="9"/>
  <c r="E306" i="9"/>
  <c r="E307" i="9"/>
  <c r="E308" i="9"/>
  <c r="E309" i="9"/>
  <c r="E310" i="9"/>
  <c r="E311" i="9"/>
  <c r="E312" i="9"/>
  <c r="E313" i="9"/>
  <c r="E314" i="9"/>
  <c r="E315" i="9"/>
  <c r="E316" i="9"/>
  <c r="E317" i="9"/>
  <c r="E318" i="9"/>
  <c r="E319" i="9"/>
  <c r="E320" i="9"/>
  <c r="E321" i="9"/>
  <c r="E322" i="9"/>
  <c r="E323" i="9"/>
  <c r="E324" i="9"/>
  <c r="E325" i="9"/>
  <c r="E326" i="9"/>
  <c r="E327" i="9"/>
  <c r="E328" i="9"/>
  <c r="E329" i="9"/>
  <c r="E330" i="9"/>
  <c r="E331" i="9"/>
  <c r="E332" i="9"/>
  <c r="E333" i="9"/>
  <c r="E334" i="9"/>
  <c r="E335" i="9"/>
  <c r="E336" i="9"/>
  <c r="E337" i="9"/>
  <c r="E338" i="9"/>
  <c r="E339" i="9"/>
  <c r="E340" i="9"/>
  <c r="E341" i="9"/>
  <c r="E342" i="9"/>
  <c r="E343" i="9"/>
  <c r="E344" i="9"/>
  <c r="E345" i="9"/>
  <c r="E346" i="9"/>
  <c r="E347" i="9"/>
  <c r="E348" i="9"/>
  <c r="E349" i="9"/>
  <c r="E350" i="9"/>
  <c r="E351" i="9"/>
  <c r="E352" i="9"/>
  <c r="E353" i="9"/>
  <c r="E354" i="9"/>
  <c r="E355" i="9"/>
  <c r="E356" i="9"/>
  <c r="E357" i="9"/>
  <c r="E358" i="9"/>
  <c r="E359" i="9"/>
  <c r="E360" i="9"/>
  <c r="E361" i="9"/>
  <c r="E362" i="9"/>
  <c r="E363" i="9"/>
  <c r="E364" i="9"/>
  <c r="E365" i="9"/>
  <c r="E366" i="9"/>
  <c r="E367" i="9"/>
  <c r="E368" i="9"/>
  <c r="E369" i="9"/>
  <c r="E370" i="9"/>
  <c r="E371" i="9"/>
  <c r="E372" i="9"/>
  <c r="E373" i="9"/>
  <c r="E374" i="9"/>
  <c r="E375" i="9"/>
  <c r="E376" i="9"/>
  <c r="E377" i="9"/>
  <c r="E378" i="9"/>
  <c r="E379" i="9"/>
  <c r="E380" i="9"/>
  <c r="E381" i="9"/>
  <c r="E382" i="9"/>
  <c r="E383" i="9"/>
  <c r="E384" i="9"/>
  <c r="E385" i="9"/>
  <c r="E386" i="9"/>
  <c r="E387" i="9"/>
  <c r="E388" i="9"/>
  <c r="E389" i="9"/>
  <c r="E390" i="9"/>
  <c r="E391" i="9"/>
  <c r="E392" i="9"/>
  <c r="E393" i="9"/>
  <c r="E394" i="9"/>
  <c r="E395" i="9"/>
  <c r="E396" i="9"/>
  <c r="E397" i="9"/>
  <c r="E398" i="9"/>
  <c r="E399" i="9"/>
  <c r="E400" i="9"/>
  <c r="E401" i="9"/>
  <c r="E402" i="9"/>
  <c r="E403" i="9"/>
  <c r="E404" i="9"/>
  <c r="E405" i="9"/>
  <c r="E406" i="9"/>
  <c r="E407" i="9"/>
  <c r="E408" i="9"/>
  <c r="E409" i="9"/>
  <c r="E410" i="9"/>
  <c r="E411" i="9"/>
  <c r="E412" i="9"/>
  <c r="E413" i="9"/>
  <c r="E414" i="9"/>
  <c r="E415" i="9"/>
  <c r="E416" i="9"/>
  <c r="E417" i="9"/>
  <c r="E418" i="9"/>
  <c r="E419" i="9"/>
  <c r="E420" i="9"/>
  <c r="E421" i="9"/>
  <c r="E422" i="9"/>
  <c r="E423" i="9"/>
  <c r="E424" i="9"/>
  <c r="E425" i="9"/>
  <c r="E426" i="9"/>
  <c r="E427" i="9"/>
  <c r="E428" i="9"/>
  <c r="E429" i="9"/>
  <c r="E430" i="9"/>
  <c r="E431" i="9"/>
  <c r="E432" i="9"/>
  <c r="E433" i="9"/>
  <c r="E434" i="9"/>
  <c r="E435" i="9"/>
  <c r="E436" i="9"/>
  <c r="E437" i="9"/>
  <c r="E438" i="9"/>
  <c r="E439" i="9"/>
  <c r="E440" i="9"/>
  <c r="E441" i="9"/>
  <c r="E442" i="9"/>
  <c r="E443" i="9"/>
  <c r="E444" i="9"/>
  <c r="E445" i="9"/>
  <c r="E446" i="9"/>
  <c r="E447" i="9"/>
  <c r="E448" i="9"/>
  <c r="E449" i="9"/>
  <c r="E450" i="9"/>
  <c r="E451" i="9"/>
  <c r="E452" i="9"/>
  <c r="E453" i="9"/>
  <c r="E454" i="9"/>
  <c r="E455" i="9"/>
  <c r="E456" i="9"/>
  <c r="E457" i="9"/>
  <c r="E458" i="9"/>
  <c r="E459" i="9"/>
  <c r="E460" i="9"/>
  <c r="E461" i="9"/>
  <c r="E462" i="9"/>
  <c r="E463" i="9"/>
  <c r="E464" i="9"/>
  <c r="E465" i="9"/>
  <c r="E466" i="9"/>
  <c r="E467" i="9"/>
  <c r="E468" i="9"/>
  <c r="E469" i="9"/>
  <c r="E470" i="9"/>
  <c r="E471" i="9"/>
  <c r="E472" i="9"/>
  <c r="E473" i="9"/>
  <c r="E474" i="9"/>
  <c r="E475" i="9"/>
  <c r="E476" i="9"/>
  <c r="E477" i="9"/>
  <c r="E478" i="9"/>
  <c r="E479" i="9"/>
  <c r="E480" i="9"/>
  <c r="E481" i="9"/>
  <c r="E482" i="9"/>
  <c r="E483" i="9"/>
  <c r="E484" i="9"/>
  <c r="E485" i="9"/>
  <c r="E486" i="9"/>
  <c r="E487" i="9"/>
  <c r="E488" i="9"/>
  <c r="E489" i="9"/>
  <c r="E490" i="9"/>
  <c r="E491" i="9"/>
  <c r="E492" i="9"/>
  <c r="E493" i="9"/>
  <c r="E494" i="9"/>
  <c r="E495" i="9"/>
  <c r="E496" i="9"/>
  <c r="E497" i="9"/>
  <c r="E498" i="9"/>
  <c r="E499" i="9"/>
  <c r="E500" i="9"/>
  <c r="E501" i="9"/>
  <c r="E502" i="9"/>
  <c r="E503" i="9"/>
  <c r="E504" i="9"/>
  <c r="E505" i="9"/>
  <c r="E506" i="9"/>
  <c r="E507" i="9"/>
  <c r="E508" i="9"/>
  <c r="E509" i="9"/>
  <c r="E510" i="9"/>
  <c r="E511" i="9"/>
  <c r="E512" i="9"/>
  <c r="E513" i="9"/>
  <c r="E514" i="9"/>
  <c r="E515" i="9"/>
  <c r="E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4" i="9"/>
  <c r="K77" i="8"/>
  <c r="K71" i="8"/>
  <c r="K69" i="8"/>
  <c r="K67" i="8"/>
  <c r="K48" i="8"/>
  <c r="K47" i="8"/>
  <c r="K46" i="8"/>
  <c r="J32" i="8"/>
  <c r="J40" i="8"/>
  <c r="K40" i="8"/>
  <c r="J38" i="8"/>
  <c r="J36" i="8"/>
  <c r="K36" i="8"/>
  <c r="J34" i="8"/>
  <c r="K34" i="8"/>
  <c r="K32" i="8"/>
  <c r="F71" i="8"/>
  <c r="F69" i="8"/>
  <c r="F67" i="8"/>
  <c r="F57" i="8"/>
  <c r="F81" i="8"/>
  <c r="D20" i="8"/>
  <c r="E20" i="8"/>
  <c r="G20" i="8"/>
  <c r="F40" i="8"/>
  <c r="F38" i="8"/>
  <c r="F36" i="8"/>
  <c r="F34" i="8"/>
  <c r="F32" i="8"/>
  <c r="F30" i="8"/>
  <c r="F17" i="8"/>
  <c r="K17" i="8"/>
  <c r="K15" i="8"/>
  <c r="F15" i="8"/>
  <c r="F13" i="8"/>
  <c r="I12" i="8"/>
  <c r="J12" i="8"/>
  <c r="L12" i="8"/>
  <c r="K13" i="8"/>
  <c r="L77" i="8"/>
  <c r="L84" i="8" s="1"/>
  <c r="L71" i="8"/>
  <c r="L69" i="8"/>
  <c r="L67" i="8"/>
  <c r="L48" i="8"/>
  <c r="L57" i="8" s="1"/>
  <c r="L47" i="8"/>
  <c r="L46" i="8"/>
  <c r="L53" i="8" s="1"/>
  <c r="L40" i="8"/>
  <c r="L36" i="8"/>
  <c r="L34" i="8"/>
  <c r="L32" i="8"/>
  <c r="L20" i="8"/>
  <c r="L13" i="8"/>
  <c r="L15" i="8"/>
  <c r="L17" i="8"/>
  <c r="G71" i="8"/>
  <c r="G69" i="8"/>
  <c r="G67" i="8"/>
  <c r="G57" i="8"/>
  <c r="G81" i="8"/>
  <c r="G40" i="8"/>
  <c r="G38" i="8"/>
  <c r="G36" i="8"/>
  <c r="G34" i="8"/>
  <c r="G32" i="8"/>
  <c r="G30" i="8"/>
  <c r="G17" i="8"/>
  <c r="G15" i="8"/>
  <c r="G13" i="8"/>
  <c r="D13" i="8"/>
  <c r="Z9" i="28" l="1"/>
  <c r="AA9" i="28"/>
  <c r="AA10" i="24"/>
  <c r="AB10" i="28"/>
  <c r="AA9" i="23"/>
  <c r="AD8" i="28"/>
  <c r="AE10" i="24"/>
  <c r="AF10" i="24"/>
  <c r="Z10" i="24"/>
  <c r="AB10" i="24"/>
  <c r="AA10" i="28"/>
  <c r="AD10" i="24"/>
  <c r="AB9" i="23"/>
  <c r="AB9" i="28"/>
  <c r="Z8" i="28"/>
  <c r="F16" i="28"/>
  <c r="R12" i="28" s="1"/>
  <c r="E14" i="24"/>
  <c r="AA8" i="24" s="1"/>
  <c r="I144" i="13"/>
  <c r="I141" i="13"/>
  <c r="L86" i="8"/>
  <c r="D6" i="22"/>
  <c r="D8" i="22" s="1"/>
  <c r="K7" i="22" s="1"/>
  <c r="F14" i="24"/>
  <c r="C14" i="24"/>
  <c r="Z8" i="24" s="1"/>
  <c r="E17" i="23"/>
  <c r="Q10" i="23" s="1"/>
  <c r="AB10" i="23" s="1"/>
  <c r="J11" i="28"/>
  <c r="W9" i="28" s="1"/>
  <c r="AF9" i="28" s="1"/>
  <c r="J10" i="24"/>
  <c r="J13" i="24" s="1"/>
  <c r="J14" i="24" s="1"/>
  <c r="AF8" i="24" s="1"/>
  <c r="H11" i="28"/>
  <c r="U9" i="28" s="1"/>
  <c r="AD9" i="28" s="1"/>
  <c r="H10" i="24"/>
  <c r="D17" i="23"/>
  <c r="P10" i="23" s="1"/>
  <c r="I15" i="23"/>
  <c r="I17" i="23" s="1"/>
  <c r="V10" i="23" s="1"/>
  <c r="I7" i="24"/>
  <c r="I9" i="24" s="1"/>
  <c r="I14" i="24" s="1"/>
  <c r="H15" i="23"/>
  <c r="H17" i="23" s="1"/>
  <c r="U10" i="23" s="1"/>
  <c r="H7" i="24"/>
  <c r="H9" i="24" s="1"/>
  <c r="E50" i="19"/>
  <c r="J48" i="19"/>
  <c r="D50" i="19"/>
  <c r="I48" i="19"/>
  <c r="H48" i="19"/>
  <c r="K16" i="28"/>
  <c r="J12" i="23"/>
  <c r="J13" i="23" s="1"/>
  <c r="W9" i="23" s="1"/>
  <c r="AF9" i="23" s="1"/>
  <c r="J15" i="23"/>
  <c r="J17" i="23" s="1"/>
  <c r="W10" i="23" s="1"/>
  <c r="AF10" i="23" s="1"/>
  <c r="C12" i="23"/>
  <c r="C13" i="23" s="1"/>
  <c r="O9" i="23" s="1"/>
  <c r="Z9" i="23" s="1"/>
  <c r="C15" i="23"/>
  <c r="C17" i="23" s="1"/>
  <c r="O10" i="23" s="1"/>
  <c r="D16" i="28"/>
  <c r="P12" i="28" s="1"/>
  <c r="I13" i="28"/>
  <c r="I12" i="23"/>
  <c r="I13" i="23" s="1"/>
  <c r="V9" i="23" s="1"/>
  <c r="H13" i="28"/>
  <c r="U10" i="28" s="1"/>
  <c r="H12" i="23"/>
  <c r="H13" i="23" s="1"/>
  <c r="U9" i="23" s="1"/>
  <c r="AN28" i="19"/>
  <c r="AN29" i="19" s="1"/>
  <c r="K7" i="23"/>
  <c r="K9" i="23" s="1"/>
  <c r="AA28" i="19"/>
  <c r="AB28" i="19"/>
  <c r="AC28" i="19"/>
  <c r="R28" i="17"/>
  <c r="W28" i="17" s="1"/>
  <c r="F7" i="23"/>
  <c r="F9" i="23" s="1"/>
  <c r="U21" i="19"/>
  <c r="J13" i="28"/>
  <c r="W10" i="28" s="1"/>
  <c r="AF10" i="28" s="1"/>
  <c r="H21" i="19"/>
  <c r="C13" i="28"/>
  <c r="E9" i="28"/>
  <c r="Q90" i="8"/>
  <c r="S21" i="19"/>
  <c r="W34" i="8"/>
  <c r="S13" i="8"/>
  <c r="V38" i="8"/>
  <c r="S69" i="8"/>
  <c r="T13" i="17"/>
  <c r="O44" i="19"/>
  <c r="AG16" i="19"/>
  <c r="C50" i="19"/>
  <c r="AG13" i="19"/>
  <c r="AF19" i="19"/>
  <c r="T21" i="19"/>
  <c r="W17" i="8"/>
  <c r="V40" i="8"/>
  <c r="V36" i="8"/>
  <c r="S17" i="8"/>
  <c r="S67" i="8"/>
  <c r="V32" i="8"/>
  <c r="S32" i="8"/>
  <c r="W47" i="8"/>
  <c r="AG19" i="19"/>
  <c r="S71" i="8"/>
  <c r="S34" i="8"/>
  <c r="G29" i="8"/>
  <c r="W36" i="8"/>
  <c r="W77" i="8"/>
  <c r="S15" i="8"/>
  <c r="W15" i="8"/>
  <c r="S81" i="8"/>
  <c r="W40" i="8"/>
  <c r="W38" i="8"/>
  <c r="S30" i="8"/>
  <c r="K51" i="8"/>
  <c r="W46" i="8"/>
  <c r="AF13" i="19"/>
  <c r="AF16" i="19"/>
  <c r="W48" i="8"/>
  <c r="S57" i="8"/>
  <c r="F86" i="8"/>
  <c r="S84" i="8"/>
  <c r="L29" i="8"/>
  <c r="W13" i="8"/>
  <c r="S36" i="8"/>
  <c r="W32" i="8"/>
  <c r="W67" i="8"/>
  <c r="S38" i="8"/>
  <c r="W69" i="8"/>
  <c r="S40" i="8"/>
  <c r="V34" i="8"/>
  <c r="W71" i="8"/>
  <c r="R90" i="8"/>
  <c r="V13" i="18"/>
  <c r="Z16" i="19"/>
  <c r="AE13" i="19"/>
  <c r="AK16" i="19"/>
  <c r="AP13" i="19"/>
  <c r="N42" i="19"/>
  <c r="S32" i="19"/>
  <c r="AL16" i="19"/>
  <c r="AQ13" i="19"/>
  <c r="AM16" i="19"/>
  <c r="AR13" i="19"/>
  <c r="P42" i="19"/>
  <c r="U32" i="19"/>
  <c r="T32" i="19"/>
  <c r="K42" i="18"/>
  <c r="K29" i="18"/>
  <c r="K31" i="18"/>
  <c r="K25" i="18"/>
  <c r="K24" i="18"/>
  <c r="K34" i="18"/>
  <c r="K26" i="18"/>
  <c r="K37" i="18"/>
  <c r="K38" i="18"/>
  <c r="K39" i="18"/>
  <c r="K40" i="18"/>
  <c r="K27" i="18"/>
  <c r="J29" i="18"/>
  <c r="J31" i="18"/>
  <c r="J34" i="18"/>
  <c r="J37" i="18"/>
  <c r="J38" i="18"/>
  <c r="J24" i="18"/>
  <c r="J39" i="18"/>
  <c r="J40" i="18"/>
  <c r="J25" i="18"/>
  <c r="J41" i="18"/>
  <c r="J26" i="18"/>
  <c r="J42" i="18"/>
  <c r="K32" i="18"/>
  <c r="V16" i="18"/>
  <c r="J32" i="18"/>
  <c r="K41" i="18"/>
  <c r="C50" i="17"/>
  <c r="H24" i="17"/>
  <c r="U13" i="18"/>
  <c r="P19" i="18"/>
  <c r="P28" i="18" s="1"/>
  <c r="T13" i="18"/>
  <c r="O16" i="18"/>
  <c r="R16" i="18"/>
  <c r="W13" i="18"/>
  <c r="J10" i="18"/>
  <c r="J9" i="18"/>
  <c r="J11" i="18"/>
  <c r="J12" i="18"/>
  <c r="J13" i="18"/>
  <c r="J14" i="18"/>
  <c r="J16" i="18"/>
  <c r="J17" i="18"/>
  <c r="J18" i="18"/>
  <c r="J19" i="18"/>
  <c r="E44" i="18"/>
  <c r="J20" i="18"/>
  <c r="J21" i="18"/>
  <c r="D42" i="18"/>
  <c r="K11" i="18"/>
  <c r="K12" i="18"/>
  <c r="K13" i="18"/>
  <c r="K14" i="18"/>
  <c r="K17" i="18"/>
  <c r="K18" i="18"/>
  <c r="K19" i="18"/>
  <c r="K20" i="18"/>
  <c r="F44" i="18"/>
  <c r="K21" i="18"/>
  <c r="K9" i="18"/>
  <c r="C42" i="18"/>
  <c r="Q28" i="18"/>
  <c r="V19" i="18"/>
  <c r="W16" i="17"/>
  <c r="J15" i="18"/>
  <c r="W19" i="17"/>
  <c r="W13" i="17"/>
  <c r="U13" i="17"/>
  <c r="P16" i="17"/>
  <c r="V13" i="17"/>
  <c r="Q16" i="17"/>
  <c r="O19" i="17"/>
  <c r="C7" i="23" s="1"/>
  <c r="C9" i="23" s="1"/>
  <c r="O8" i="23" s="1"/>
  <c r="T16" i="17"/>
  <c r="K42" i="17"/>
  <c r="K31" i="17"/>
  <c r="K32" i="17"/>
  <c r="K46" i="17"/>
  <c r="K33" i="17"/>
  <c r="K34" i="17"/>
  <c r="K48" i="17"/>
  <c r="K35" i="17"/>
  <c r="K36" i="17"/>
  <c r="K40" i="17"/>
  <c r="K41" i="17"/>
  <c r="K47" i="17"/>
  <c r="J42" i="17"/>
  <c r="J48" i="17"/>
  <c r="J31" i="17"/>
  <c r="J32" i="17"/>
  <c r="J46" i="17"/>
  <c r="J33" i="17"/>
  <c r="J34" i="17"/>
  <c r="J35" i="17"/>
  <c r="J36" i="17"/>
  <c r="J40" i="17"/>
  <c r="J41" i="17"/>
  <c r="J47" i="17"/>
  <c r="I42" i="17"/>
  <c r="I31" i="17"/>
  <c r="I47" i="17"/>
  <c r="I32" i="17"/>
  <c r="I46" i="17"/>
  <c r="I33" i="17"/>
  <c r="I34" i="17"/>
  <c r="I48" i="17"/>
  <c r="I35" i="17"/>
  <c r="I36" i="17"/>
  <c r="I40" i="17"/>
  <c r="I41" i="17"/>
  <c r="I30" i="17"/>
  <c r="H42" i="17"/>
  <c r="H31" i="17"/>
  <c r="H32" i="17"/>
  <c r="H46" i="17"/>
  <c r="H47" i="17"/>
  <c r="H33" i="17"/>
  <c r="H34" i="17"/>
  <c r="H48" i="17"/>
  <c r="H35" i="17"/>
  <c r="H36" i="17"/>
  <c r="H40" i="17"/>
  <c r="H41" i="17"/>
  <c r="H30" i="17"/>
  <c r="K25" i="17"/>
  <c r="K26" i="17"/>
  <c r="K27" i="17"/>
  <c r="K28" i="17"/>
  <c r="K29" i="17"/>
  <c r="J25" i="17"/>
  <c r="J26" i="17"/>
  <c r="J27" i="17"/>
  <c r="J28" i="17"/>
  <c r="J29" i="17"/>
  <c r="I25" i="17"/>
  <c r="I26" i="17"/>
  <c r="I27" i="17"/>
  <c r="I28" i="17"/>
  <c r="I29" i="17"/>
  <c r="H25" i="17"/>
  <c r="H26" i="17"/>
  <c r="H27" i="17"/>
  <c r="H28" i="17"/>
  <c r="H29" i="17"/>
  <c r="F50" i="17"/>
  <c r="K24" i="17"/>
  <c r="E50" i="17"/>
  <c r="J24" i="17"/>
  <c r="D50" i="17"/>
  <c r="I24" i="17"/>
  <c r="H141" i="13"/>
  <c r="H144" i="13"/>
  <c r="G141" i="13"/>
  <c r="G144" i="13"/>
  <c r="J18" i="13"/>
  <c r="H29" i="13"/>
  <c r="G29" i="13"/>
  <c r="K84" i="8"/>
  <c r="L31" i="13"/>
  <c r="S88" i="8"/>
  <c r="L27" i="13"/>
  <c r="K57" i="8"/>
  <c r="W57" i="8" s="1"/>
  <c r="L26" i="13"/>
  <c r="I25" i="13"/>
  <c r="L25" i="13"/>
  <c r="L24" i="13"/>
  <c r="L18" i="13"/>
  <c r="H18" i="13"/>
  <c r="I18" i="13"/>
  <c r="G18" i="13"/>
  <c r="K18" i="13"/>
  <c r="G90" i="8"/>
  <c r="S90" i="8" s="1"/>
  <c r="J90" i="8"/>
  <c r="G522" i="9"/>
  <c r="G525" i="9" s="1"/>
  <c r="E522" i="9"/>
  <c r="E525" i="9" s="1"/>
  <c r="G521" i="9"/>
  <c r="E521" i="9"/>
  <c r="G520" i="9"/>
  <c r="G523" i="9" s="1"/>
  <c r="G524" i="9" s="1"/>
  <c r="E520" i="9"/>
  <c r="E523" i="9" s="1"/>
  <c r="E524" i="9" s="1"/>
  <c r="C521" i="9"/>
  <c r="C520" i="9"/>
  <c r="C523" i="9" s="1"/>
  <c r="C524" i="9" s="1"/>
  <c r="G517" i="9"/>
  <c r="G519" i="9" s="1"/>
  <c r="E517" i="9"/>
  <c r="E519" i="9" s="1"/>
  <c r="C517" i="9"/>
  <c r="C519" i="9" s="1"/>
  <c r="E528" i="9" s="1"/>
  <c r="K73" i="8"/>
  <c r="K81" i="8"/>
  <c r="K55" i="8"/>
  <c r="K53" i="8"/>
  <c r="F73" i="8"/>
  <c r="F55" i="8"/>
  <c r="L73" i="8"/>
  <c r="L55" i="8"/>
  <c r="G53" i="8"/>
  <c r="L51" i="8"/>
  <c r="L81" i="8"/>
  <c r="L88" i="8" s="1"/>
  <c r="G73" i="8"/>
  <c r="G55" i="8"/>
  <c r="J67" i="8"/>
  <c r="V67" i="8" s="1"/>
  <c r="J71" i="8"/>
  <c r="V71" i="8" s="1"/>
  <c r="I71" i="8"/>
  <c r="J47" i="8"/>
  <c r="V47" i="8" s="1"/>
  <c r="I47" i="8"/>
  <c r="J46" i="8"/>
  <c r="I46" i="8"/>
  <c r="I40" i="8"/>
  <c r="U40" i="8" s="1"/>
  <c r="I38" i="8"/>
  <c r="U38" i="8" s="1"/>
  <c r="I36" i="8"/>
  <c r="U36" i="8" s="1"/>
  <c r="I34" i="8"/>
  <c r="U34" i="8" s="1"/>
  <c r="I32" i="8"/>
  <c r="U32" i="8" s="1"/>
  <c r="J30" i="8"/>
  <c r="V30" i="8" s="1"/>
  <c r="I30" i="8"/>
  <c r="J17" i="8"/>
  <c r="V17" i="8" s="1"/>
  <c r="I17" i="8"/>
  <c r="J15" i="8"/>
  <c r="V15" i="8" s="1"/>
  <c r="I15" i="8"/>
  <c r="J13" i="8"/>
  <c r="V13" i="8" s="1"/>
  <c r="I13" i="8"/>
  <c r="J77" i="8"/>
  <c r="V77" i="8" s="1"/>
  <c r="I77" i="8"/>
  <c r="I84" i="8" s="1"/>
  <c r="J69" i="8"/>
  <c r="V69" i="8" s="1"/>
  <c r="I69" i="8"/>
  <c r="J48" i="8"/>
  <c r="V48" i="8" s="1"/>
  <c r="I48" i="8"/>
  <c r="AD10" i="23" l="1"/>
  <c r="AE9" i="23"/>
  <c r="AD9" i="23"/>
  <c r="Z10" i="23"/>
  <c r="AE8" i="24"/>
  <c r="AE10" i="23"/>
  <c r="AA10" i="23"/>
  <c r="AE9" i="28"/>
  <c r="I16" i="28"/>
  <c r="V12" i="28" s="1"/>
  <c r="V10" i="28"/>
  <c r="AE10" i="28" s="1"/>
  <c r="E16" i="28"/>
  <c r="Q12" i="28" s="1"/>
  <c r="AB12" i="28" s="1"/>
  <c r="Q8" i="28"/>
  <c r="D18" i="24"/>
  <c r="P13" i="24" s="1"/>
  <c r="C16" i="28"/>
  <c r="O12" i="28" s="1"/>
  <c r="Z12" i="28" s="1"/>
  <c r="O10" i="28"/>
  <c r="Z10" i="28" s="1"/>
  <c r="D27" i="24"/>
  <c r="P14" i="24" s="1"/>
  <c r="AB8" i="24"/>
  <c r="I27" i="24"/>
  <c r="V14" i="24" s="1"/>
  <c r="J18" i="24"/>
  <c r="W13" i="24" s="1"/>
  <c r="J27" i="24"/>
  <c r="W14" i="24" s="1"/>
  <c r="E27" i="24"/>
  <c r="Q14" i="24" s="1"/>
  <c r="O13" i="24"/>
  <c r="O14" i="24"/>
  <c r="I18" i="24"/>
  <c r="V13" i="24" s="1"/>
  <c r="E18" i="24"/>
  <c r="Q13" i="24" s="1"/>
  <c r="J16" i="28"/>
  <c r="H13" i="24"/>
  <c r="H14" i="24" s="1"/>
  <c r="AD8" i="24" s="1"/>
  <c r="H16" i="28"/>
  <c r="U12" i="28" s="1"/>
  <c r="K21" i="23"/>
  <c r="X12" i="23" s="1"/>
  <c r="X8" i="23"/>
  <c r="F21" i="23"/>
  <c r="R12" i="23" s="1"/>
  <c r="R8" i="23"/>
  <c r="C21" i="23"/>
  <c r="O12" i="23" s="1"/>
  <c r="AF28" i="19"/>
  <c r="AG28" i="19"/>
  <c r="U15" i="8"/>
  <c r="U48" i="8"/>
  <c r="U30" i="8"/>
  <c r="U69" i="8"/>
  <c r="U71" i="8"/>
  <c r="U67" i="8"/>
  <c r="U47" i="8"/>
  <c r="S55" i="8"/>
  <c r="U17" i="8"/>
  <c r="S73" i="8"/>
  <c r="U13" i="8"/>
  <c r="J27" i="13"/>
  <c r="U46" i="8"/>
  <c r="K27" i="13"/>
  <c r="V46" i="8"/>
  <c r="K86" i="8"/>
  <c r="W84" i="8"/>
  <c r="K88" i="8"/>
  <c r="W88" i="8" s="1"/>
  <c r="W81" i="8"/>
  <c r="W55" i="8"/>
  <c r="G44" i="8"/>
  <c r="W73" i="8"/>
  <c r="L44" i="8"/>
  <c r="U77" i="8"/>
  <c r="U42" i="19"/>
  <c r="P44" i="19"/>
  <c r="AM19" i="19"/>
  <c r="J7" i="23" s="1"/>
  <c r="J9" i="23" s="1"/>
  <c r="AR16" i="19"/>
  <c r="AL19" i="19"/>
  <c r="I7" i="23" s="1"/>
  <c r="I9" i="23" s="1"/>
  <c r="AQ16" i="19"/>
  <c r="S42" i="19"/>
  <c r="N44" i="19"/>
  <c r="AK19" i="19"/>
  <c r="H7" i="23" s="1"/>
  <c r="H9" i="23" s="1"/>
  <c r="AP16" i="19"/>
  <c r="T42" i="19"/>
  <c r="Z19" i="19"/>
  <c r="AE16" i="19"/>
  <c r="H24" i="18"/>
  <c r="H31" i="18"/>
  <c r="H38" i="18"/>
  <c r="H26" i="18"/>
  <c r="H37" i="18"/>
  <c r="H25" i="18"/>
  <c r="H39" i="18"/>
  <c r="H27" i="18"/>
  <c r="H40" i="18"/>
  <c r="H42" i="18"/>
  <c r="H30" i="18"/>
  <c r="H41" i="18"/>
  <c r="I24" i="18"/>
  <c r="I38" i="18"/>
  <c r="I26" i="18"/>
  <c r="I39" i="18"/>
  <c r="I41" i="18"/>
  <c r="I40" i="18"/>
  <c r="I42" i="18"/>
  <c r="I29" i="18"/>
  <c r="I31" i="18"/>
  <c r="I37" i="18"/>
  <c r="I25" i="18"/>
  <c r="I27" i="18"/>
  <c r="U19" i="18"/>
  <c r="I32" i="18"/>
  <c r="H32" i="18"/>
  <c r="V28" i="18"/>
  <c r="Q29" i="18"/>
  <c r="V29" i="18" s="1"/>
  <c r="C44" i="18"/>
  <c r="D44" i="18"/>
  <c r="U28" i="18"/>
  <c r="P29" i="18"/>
  <c r="U29" i="18" s="1"/>
  <c r="R19" i="18"/>
  <c r="W16" i="18"/>
  <c r="O19" i="18"/>
  <c r="T16" i="18"/>
  <c r="O28" i="17"/>
  <c r="T28" i="17" s="1"/>
  <c r="T19" i="17"/>
  <c r="Q19" i="17"/>
  <c r="E7" i="23" s="1"/>
  <c r="E9" i="23" s="1"/>
  <c r="V16" i="17"/>
  <c r="P19" i="17"/>
  <c r="D7" i="23" s="1"/>
  <c r="D9" i="23" s="1"/>
  <c r="U16" i="17"/>
  <c r="L141" i="13"/>
  <c r="L144" i="13"/>
  <c r="L29" i="13"/>
  <c r="J84" i="8"/>
  <c r="K31" i="13"/>
  <c r="G6" i="22"/>
  <c r="G8" i="22" s="1"/>
  <c r="L7" i="22" s="1"/>
  <c r="J31" i="13"/>
  <c r="J57" i="8"/>
  <c r="V57" i="8" s="1"/>
  <c r="K26" i="13"/>
  <c r="I57" i="8"/>
  <c r="J26" i="13"/>
  <c r="K25" i="13"/>
  <c r="J25" i="13"/>
  <c r="G25" i="13"/>
  <c r="H25" i="13"/>
  <c r="J81" i="8"/>
  <c r="K24" i="13"/>
  <c r="I81" i="8"/>
  <c r="J24" i="13"/>
  <c r="G86" i="8"/>
  <c r="S86" i="8" s="1"/>
  <c r="E530" i="9"/>
  <c r="G529" i="9"/>
  <c r="G528" i="9"/>
  <c r="G530" i="9" s="1"/>
  <c r="E529" i="9"/>
  <c r="G526" i="9"/>
  <c r="E526" i="9"/>
  <c r="C529" i="9"/>
  <c r="F51" i="8"/>
  <c r="F53" i="8"/>
  <c r="S53" i="8" s="1"/>
  <c r="G51" i="8"/>
  <c r="J55" i="8"/>
  <c r="V55" i="8" s="1"/>
  <c r="I73" i="8"/>
  <c r="I55" i="8"/>
  <c r="I51" i="8"/>
  <c r="J51" i="8"/>
  <c r="I53" i="8"/>
  <c r="J53" i="8"/>
  <c r="J73" i="8"/>
  <c r="V73" i="8" s="1"/>
  <c r="J20" i="8"/>
  <c r="I20" i="8"/>
  <c r="E57" i="8"/>
  <c r="R57" i="8" s="1"/>
  <c r="D57" i="8"/>
  <c r="E81" i="8"/>
  <c r="R81" i="8" s="1"/>
  <c r="D81" i="8"/>
  <c r="E69" i="8"/>
  <c r="R69" i="8" s="1"/>
  <c r="D69" i="8"/>
  <c r="E38" i="8"/>
  <c r="R38" i="8" s="1"/>
  <c r="D38" i="8"/>
  <c r="E29" i="8"/>
  <c r="D29" i="8"/>
  <c r="Z13" i="24" l="1"/>
  <c r="AE14" i="24"/>
  <c r="AA12" i="28"/>
  <c r="AD12" i="28"/>
  <c r="AA14" i="24"/>
  <c r="AA13" i="24"/>
  <c r="AE13" i="24"/>
  <c r="AB8" i="28"/>
  <c r="AA8" i="28"/>
  <c r="AD10" i="28"/>
  <c r="Z14" i="24"/>
  <c r="H18" i="24"/>
  <c r="U13" i="24" s="1"/>
  <c r="AD13" i="24" s="1"/>
  <c r="H27" i="24"/>
  <c r="U14" i="24" s="1"/>
  <c r="AD14" i="24" s="1"/>
  <c r="I21" i="23"/>
  <c r="V12" i="23" s="1"/>
  <c r="V8" i="23"/>
  <c r="J21" i="23"/>
  <c r="W12" i="23" s="1"/>
  <c r="AF12" i="23" s="1"/>
  <c r="W8" i="23"/>
  <c r="AF8" i="23" s="1"/>
  <c r="D21" i="23"/>
  <c r="P12" i="23" s="1"/>
  <c r="P8" i="23"/>
  <c r="E21" i="23"/>
  <c r="Q12" i="23" s="1"/>
  <c r="AB12" i="23" s="1"/>
  <c r="Q8" i="23"/>
  <c r="AB8" i="23" s="1"/>
  <c r="H21" i="23"/>
  <c r="U12" i="23" s="1"/>
  <c r="U8" i="23"/>
  <c r="U57" i="8"/>
  <c r="U55" i="8"/>
  <c r="Q38" i="8"/>
  <c r="U73" i="8"/>
  <c r="Q57" i="8"/>
  <c r="Q81" i="8"/>
  <c r="G50" i="8"/>
  <c r="I86" i="8"/>
  <c r="U84" i="8"/>
  <c r="S51" i="8"/>
  <c r="J29" i="8"/>
  <c r="D44" i="8"/>
  <c r="J88" i="8"/>
  <c r="V88" i="8" s="1"/>
  <c r="V81" i="8"/>
  <c r="J86" i="8"/>
  <c r="V84" i="8"/>
  <c r="I29" i="8"/>
  <c r="U81" i="8"/>
  <c r="L50" i="8"/>
  <c r="E44" i="8"/>
  <c r="Q69" i="8"/>
  <c r="Z28" i="19"/>
  <c r="AE28" i="19" s="1"/>
  <c r="AK28" i="19"/>
  <c r="AP19" i="19"/>
  <c r="AL28" i="19"/>
  <c r="AQ19" i="19"/>
  <c r="AM28" i="19"/>
  <c r="AR19" i="19"/>
  <c r="T19" i="18"/>
  <c r="O28" i="18"/>
  <c r="R28" i="18"/>
  <c r="W19" i="18"/>
  <c r="P28" i="17"/>
  <c r="U28" i="17" s="1"/>
  <c r="U19" i="17"/>
  <c r="Q28" i="17"/>
  <c r="V28" i="17" s="1"/>
  <c r="V19" i="17"/>
  <c r="K141" i="13"/>
  <c r="K144" i="13"/>
  <c r="J141" i="13"/>
  <c r="J144" i="13"/>
  <c r="K29" i="13"/>
  <c r="J29" i="13"/>
  <c r="D17" i="8"/>
  <c r="D15" i="8"/>
  <c r="E13" i="8"/>
  <c r="E67" i="8"/>
  <c r="R88" i="8"/>
  <c r="D32" i="8"/>
  <c r="E15" i="8"/>
  <c r="R15" i="8" s="1"/>
  <c r="D36" i="8"/>
  <c r="D71" i="8"/>
  <c r="E71" i="8"/>
  <c r="R71" i="8" s="1"/>
  <c r="D30" i="8"/>
  <c r="D34" i="8"/>
  <c r="E36" i="8"/>
  <c r="R36" i="8" s="1"/>
  <c r="E17" i="8"/>
  <c r="R17" i="8" s="1"/>
  <c r="E55" i="8"/>
  <c r="R55" i="8" s="1"/>
  <c r="D55" i="8"/>
  <c r="E34" i="8"/>
  <c r="R34" i="8" s="1"/>
  <c r="E30" i="8"/>
  <c r="R30" i="8" s="1"/>
  <c r="D40" i="8"/>
  <c r="E40" i="8"/>
  <c r="R40" i="8" s="1"/>
  <c r="E32" i="8"/>
  <c r="R32" i="8" s="1"/>
  <c r="AD12" i="23" l="1"/>
  <c r="AD8" i="23"/>
  <c r="AE12" i="23"/>
  <c r="AA12" i="23"/>
  <c r="AA8" i="23"/>
  <c r="Z8" i="23"/>
  <c r="AE8" i="23"/>
  <c r="Z12" i="23"/>
  <c r="U86" i="8"/>
  <c r="Q55" i="8"/>
  <c r="Q36" i="8"/>
  <c r="Q32" i="8"/>
  <c r="Q40" i="8"/>
  <c r="E50" i="8"/>
  <c r="Q88" i="8"/>
  <c r="R67" i="8"/>
  <c r="Q67" i="8"/>
  <c r="L60" i="8"/>
  <c r="I44" i="8"/>
  <c r="D50" i="8"/>
  <c r="J44" i="8"/>
  <c r="R13" i="8"/>
  <c r="Q13" i="8"/>
  <c r="U88" i="8"/>
  <c r="Q34" i="8"/>
  <c r="Q17" i="8"/>
  <c r="Q30" i="8"/>
  <c r="G60" i="8"/>
  <c r="Q15" i="8"/>
  <c r="Q71" i="8"/>
  <c r="AM29" i="19"/>
  <c r="AR29" i="19" s="1"/>
  <c r="AR28" i="19"/>
  <c r="AL29" i="19"/>
  <c r="AQ28" i="19"/>
  <c r="AK29" i="19"/>
  <c r="AP28" i="19"/>
  <c r="O29" i="18"/>
  <c r="T29" i="18" s="1"/>
  <c r="T28" i="18"/>
  <c r="R29" i="18"/>
  <c r="W29" i="18" s="1"/>
  <c r="W28" i="18"/>
  <c r="D73" i="8"/>
  <c r="E73" i="8"/>
  <c r="R73" i="8" s="1"/>
  <c r="D53" i="8"/>
  <c r="D51" i="8"/>
  <c r="E53" i="8"/>
  <c r="R53" i="8" s="1"/>
  <c r="E51" i="8"/>
  <c r="R51" i="8" s="1"/>
  <c r="AQ29" i="19" l="1"/>
  <c r="AP29" i="19"/>
  <c r="G66" i="8"/>
  <c r="I50" i="8"/>
  <c r="D60" i="8"/>
  <c r="L66" i="8"/>
  <c r="E86" i="8"/>
  <c r="R84" i="8"/>
  <c r="Q84" i="8"/>
  <c r="Q51" i="8"/>
  <c r="Q53" i="8"/>
  <c r="E60" i="8"/>
  <c r="Q73" i="8"/>
  <c r="J50" i="8"/>
  <c r="L76" i="8" l="1"/>
  <c r="R86" i="8"/>
  <c r="Q86" i="8"/>
  <c r="J60" i="8"/>
  <c r="D66" i="8"/>
  <c r="I60" i="8"/>
  <c r="E66" i="8"/>
  <c r="G76" i="8"/>
  <c r="E76" i="8" l="1"/>
  <c r="I66" i="8"/>
  <c r="D76" i="8"/>
  <c r="J66" i="8"/>
  <c r="G83" i="8"/>
  <c r="L83" i="8"/>
  <c r="J76" i="8" l="1"/>
  <c r="D83" i="8"/>
  <c r="I76" i="8"/>
  <c r="E83" i="8"/>
  <c r="I83" i="8" l="1"/>
  <c r="J83" i="8"/>
</calcChain>
</file>

<file path=xl/sharedStrings.xml><?xml version="1.0" encoding="utf-8"?>
<sst xmlns="http://schemas.openxmlformats.org/spreadsheetml/2006/main" count="4319" uniqueCount="1167">
  <si>
    <t xml:space="preserve">Summary of Calculations </t>
  </si>
  <si>
    <t>TREND ANALYSIS</t>
  </si>
  <si>
    <t>FINANCIAL RATIO ANALYSIS</t>
  </si>
  <si>
    <t>Ratio Analysis</t>
  </si>
  <si>
    <t>Formulas</t>
  </si>
  <si>
    <t>Johnson &amp; Johnson</t>
  </si>
  <si>
    <t>Honest Company Inc</t>
  </si>
  <si>
    <t>The Honest Company Inc.</t>
  </si>
  <si>
    <t>Liquidity Ratios:</t>
  </si>
  <si>
    <t>Current Ratio</t>
  </si>
  <si>
    <t xml:space="preserve"> = Current Assets/ Current Liabilities</t>
  </si>
  <si>
    <t>Quick Ratio</t>
  </si>
  <si>
    <t xml:space="preserve"> = (Current Assets - Inventories) / Current Liabilities </t>
  </si>
  <si>
    <t>Cash Ratio</t>
  </si>
  <si>
    <t xml:space="preserve"> = Cash/ Current Liabilities</t>
  </si>
  <si>
    <t>Working Capital Cycle</t>
  </si>
  <si>
    <t>Acc. Receivables Days</t>
  </si>
  <si>
    <t xml:space="preserve"> = (Account Receivable / Sales) * 360</t>
  </si>
  <si>
    <t>Inventory Days</t>
  </si>
  <si>
    <t xml:space="preserve"> = (Inventory / Purchases) * 360</t>
  </si>
  <si>
    <t>Acc. Payable Days</t>
  </si>
  <si>
    <t xml:space="preserve"> = (Account Payable / Purchases) * 360</t>
  </si>
  <si>
    <t>Cash Operating Cycle</t>
  </si>
  <si>
    <t xml:space="preserve"> = Inventory Days + Receivable Days - Payables Days</t>
  </si>
  <si>
    <t>Profitability Ratios</t>
  </si>
  <si>
    <t>Return on Equity</t>
  </si>
  <si>
    <t xml:space="preserve"> = Net Income / Equity</t>
  </si>
  <si>
    <t>Return on Assets</t>
  </si>
  <si>
    <t xml:space="preserve"> = Net Income / Tot. Assets</t>
  </si>
  <si>
    <t>Net Profit Margin</t>
  </si>
  <si>
    <t xml:space="preserve"> = Net Income / Sales</t>
  </si>
  <si>
    <t>Leverage Ratios</t>
  </si>
  <si>
    <t>Debt/Equity Ratio</t>
  </si>
  <si>
    <t xml:space="preserve"> = Total Debt / Total Equity </t>
  </si>
  <si>
    <t>Equity Multiplier</t>
  </si>
  <si>
    <t xml:space="preserve"> = Total Assets / Total Equity </t>
  </si>
  <si>
    <t>Interest Coverage Ratio</t>
  </si>
  <si>
    <t xml:space="preserve"> = EBIT / Interest Expense </t>
  </si>
  <si>
    <t>Debt/Capital Ratio</t>
  </si>
  <si>
    <t xml:space="preserve"> = Total Debt / (Total Equity + Total Debt )</t>
  </si>
  <si>
    <t>Valuation Ratios</t>
  </si>
  <si>
    <t>Price/Earnings Ratio</t>
  </si>
  <si>
    <t xml:space="preserve"> = Market Price / Earnings per Share</t>
  </si>
  <si>
    <t>Book Value per Share</t>
  </si>
  <si>
    <t xml:space="preserve"> = Total Equity / Total Shares Outstanding</t>
  </si>
  <si>
    <t>Earnings per Share</t>
  </si>
  <si>
    <t xml:space="preserve"> = Earnings / Total Share Outstanding </t>
  </si>
  <si>
    <t xml:space="preserve">Dividend Yield </t>
  </si>
  <si>
    <t xml:space="preserve"> = Total Dividends / Market Price </t>
  </si>
  <si>
    <t>-</t>
  </si>
  <si>
    <t>INVESTMENT RATIOS ANALYSIS</t>
  </si>
  <si>
    <t>PE Ratios</t>
  </si>
  <si>
    <t>Price - Earning Ratios</t>
  </si>
  <si>
    <t xml:space="preserve">PE </t>
  </si>
  <si>
    <t xml:space="preserve"> = Market Price per Share / Earnings per Share</t>
  </si>
  <si>
    <t>EPS</t>
  </si>
  <si>
    <t xml:space="preserve"> = Net income / Number of Share Outstanding</t>
  </si>
  <si>
    <t>ROE</t>
  </si>
  <si>
    <t xml:space="preserve"> = Net Profit / Total Equity</t>
  </si>
  <si>
    <t>ROA</t>
  </si>
  <si>
    <t xml:space="preserve"> = Net Profit / Total Assets</t>
  </si>
  <si>
    <t>Dividend Yield</t>
  </si>
  <si>
    <t xml:space="preserve"> = dividend per share / Market Price per share</t>
  </si>
  <si>
    <t>PROFITABILITY RATIOS ANALYSIS</t>
  </si>
  <si>
    <t>Profitability</t>
  </si>
  <si>
    <t>Gross Profit Margin</t>
  </si>
  <si>
    <t>GPM</t>
  </si>
  <si>
    <t xml:space="preserve"> = Gross Profit / Revenue </t>
  </si>
  <si>
    <t>NPM</t>
  </si>
  <si>
    <t xml:space="preserve"> = Net Profit / Revenue </t>
  </si>
  <si>
    <t>LIQUIDITY RATIOS ANALYSIS</t>
  </si>
  <si>
    <t>Liquidity</t>
  </si>
  <si>
    <t xml:space="preserve"> = Current Assets / Current Liabilities </t>
  </si>
  <si>
    <t>Cash Coverage Ratio</t>
  </si>
  <si>
    <t xml:space="preserve"> = Cash / Current Liabilities</t>
  </si>
  <si>
    <t xml:space="preserve"> = ( Current Asset - Inventory) / Current liabilities</t>
  </si>
  <si>
    <t>LEVERAGE RATIOS ANALYSIS</t>
  </si>
  <si>
    <t>Leverage</t>
  </si>
  <si>
    <t>Debt -to- Equity Ratio</t>
  </si>
  <si>
    <t xml:space="preserve"> = Non-Current Liabilities / Shareholders' Equity</t>
  </si>
  <si>
    <t xml:space="preserve"> = Long-Term Debt / Equity </t>
  </si>
  <si>
    <t xml:space="preserve"> = Debt / Equity </t>
  </si>
  <si>
    <t>ASSET TURNOVER RATIOS ANALYSIS</t>
  </si>
  <si>
    <t>Asset Turnover</t>
  </si>
  <si>
    <t>Total Asset Turnover</t>
  </si>
  <si>
    <t xml:space="preserve"> = Sales / Total Assets</t>
  </si>
  <si>
    <t>Fixed Asset Turnover</t>
  </si>
  <si>
    <t xml:space="preserve"> = Sales / Fixed Assets </t>
  </si>
  <si>
    <t>Receivable Turnover</t>
  </si>
  <si>
    <t xml:space="preserve"> = Sales / Receivables </t>
  </si>
  <si>
    <t xml:space="preserve">Inventory Turnover </t>
  </si>
  <si>
    <t xml:space="preserve"> = Cost of Goods Sold/ Inventory</t>
  </si>
  <si>
    <t>MARKET RATIOS ANALYSIS</t>
  </si>
  <si>
    <t>Market</t>
  </si>
  <si>
    <t>Price/ Earning Ratio</t>
  </si>
  <si>
    <t>Dividend Yield Ratio</t>
  </si>
  <si>
    <t xml:space="preserve"> = Dividend per Share / Market Price per Share</t>
  </si>
  <si>
    <t>Market Price per Share</t>
  </si>
  <si>
    <t xml:space="preserve"> = Net Income / Number of Shares Outstanding</t>
  </si>
  <si>
    <t>Dividend per Share</t>
  </si>
  <si>
    <t xml:space="preserve"> = Total Dividend / Num. Shares. Outstanding </t>
  </si>
  <si>
    <t>Net Income</t>
  </si>
  <si>
    <t>Number of Shares Outstanding</t>
  </si>
  <si>
    <t xml:space="preserve"> = Capital Stock / Par Value</t>
  </si>
  <si>
    <t>Capital Stock</t>
  </si>
  <si>
    <t>Total Dividend</t>
  </si>
  <si>
    <t>PRICE-TO-BOOK RATIOS ANALYSIS</t>
  </si>
  <si>
    <t xml:space="preserve">Price to Book </t>
  </si>
  <si>
    <t>Price to Book Ratio</t>
  </si>
  <si>
    <t xml:space="preserve"> = Market price per Share / Book Value per Share</t>
  </si>
  <si>
    <t>Price</t>
  </si>
  <si>
    <t xml:space="preserve"> = Market Price per Share</t>
  </si>
  <si>
    <t>Book Value of Equity (BVPS)</t>
  </si>
  <si>
    <t xml:space="preserve"> = Book Value of Equity / Number of Shares Outstanding</t>
  </si>
  <si>
    <t>Book to Market Ratio</t>
  </si>
  <si>
    <t xml:space="preserve"> = Book Value per Share / Market Price per Share</t>
  </si>
  <si>
    <t>Size</t>
  </si>
  <si>
    <t xml:space="preserve"> = Market Price per Share * Number of Shares Outstanding</t>
  </si>
  <si>
    <t>DuPONT ANALYSIS</t>
  </si>
  <si>
    <t>DuPont</t>
  </si>
  <si>
    <t xml:space="preserve"> = NPM * TAT * Leverage</t>
  </si>
  <si>
    <t xml:space="preserve"> = Net Profit / Equity </t>
  </si>
  <si>
    <t>Total Asset Turnover (TAT)</t>
  </si>
  <si>
    <t xml:space="preserve"> = Revenu / Total Assets</t>
  </si>
  <si>
    <t>Leveage</t>
  </si>
  <si>
    <t xml:space="preserve"> = Total Assets / Equit </t>
  </si>
  <si>
    <t>Cash Flow per Share</t>
  </si>
  <si>
    <t xml:space="preserve"> = EBITDA / Weighted Basic Number of ordinary Shares Outstanding </t>
  </si>
  <si>
    <t>Market Value of Equity</t>
  </si>
  <si>
    <t xml:space="preserve"> = Basic Weighted Average Number of Shares Outstaning for the Year */Shares Price at the End of the day</t>
  </si>
  <si>
    <t>EARNING QUALITY ANALYSIS</t>
  </si>
  <si>
    <t>Earning Quality</t>
  </si>
  <si>
    <t>Balance Sheet Accruals Ratio</t>
  </si>
  <si>
    <t xml:space="preserve"> = (NOA_t-NOA_(t-1))/(((NOA_t+NOA_(t-1)))⁄2)</t>
  </si>
  <si>
    <t xml:space="preserve">Net Operating Assets </t>
  </si>
  <si>
    <t xml:space="preserve">Operating Assets- Operating Liabilities </t>
  </si>
  <si>
    <t>Cash Flow Accruals Ratio</t>
  </si>
  <si>
    <t xml:space="preserve"> = (NI_t-(CFO_t+CFI_t ))/(((NOA_t+NOA_(t-1)))⁄2)</t>
  </si>
  <si>
    <t>Cash Flow Operations</t>
  </si>
  <si>
    <t xml:space="preserve">Cash Flow From Investing </t>
  </si>
  <si>
    <t>STOCK VALUATION ANALYSIS</t>
  </si>
  <si>
    <t>Price- Earnings</t>
  </si>
  <si>
    <t>Justified P/E</t>
  </si>
  <si>
    <t>Trailing P/E</t>
  </si>
  <si>
    <t xml:space="preserve"> = Current Price / Earnings per Share</t>
  </si>
  <si>
    <t>Forecasting P/E</t>
  </si>
  <si>
    <t xml:space="preserve">Price/Earnings to Growth (PEG) </t>
  </si>
  <si>
    <t xml:space="preserve"> = (Current Price / Earning per Share) / Earnings per Share Growth Rate</t>
  </si>
  <si>
    <t>TOBIN'S Q ANALYSIS</t>
  </si>
  <si>
    <t>Tobin's Q</t>
  </si>
  <si>
    <t xml:space="preserve"> = Market value of equity + Liabilities) / Total Assets </t>
  </si>
  <si>
    <t xml:space="preserve">Market Value of Equity </t>
  </si>
  <si>
    <t xml:space="preserve">Total Liabilities </t>
  </si>
  <si>
    <t xml:space="preserve">Total Assets </t>
  </si>
  <si>
    <t>VALUATION MULTIPLES</t>
  </si>
  <si>
    <t>Price to Book Value</t>
  </si>
  <si>
    <t xml:space="preserve"> = Common Shareholder's Equity / Number of Common Stock Shares Outstanding</t>
  </si>
  <si>
    <t>Price to Sales</t>
  </si>
  <si>
    <t>Price to Cash Flow</t>
  </si>
  <si>
    <t>Price to Dividends</t>
  </si>
  <si>
    <t>Enterprise Value (EV)</t>
  </si>
  <si>
    <t xml:space="preserve"> = (Number of Shares Outstanding * Price per Share) + (market Value of Pefered Stock) + (market Value of Debt) - (Cash + Investment)</t>
  </si>
  <si>
    <t xml:space="preserve">RATIO ANALYSIS </t>
  </si>
  <si>
    <t>CALCULATIONS:</t>
  </si>
  <si>
    <t xml:space="preserve">Johnson &amp; Johnson		</t>
  </si>
  <si>
    <t xml:space="preserve">The Honest Company Inc. 		</t>
  </si>
  <si>
    <t>Input data for Liquidity Ratios:</t>
  </si>
  <si>
    <t>Current Assets</t>
  </si>
  <si>
    <t>Current Liabilities</t>
  </si>
  <si>
    <t>Inventories</t>
  </si>
  <si>
    <t>Cash and cash equivalents</t>
  </si>
  <si>
    <t>LIQUIDITY RATIOS:</t>
  </si>
  <si>
    <t>Current Ratio (ideally it would be 2:1)</t>
  </si>
  <si>
    <t>Current Assets/Current Liabilities</t>
  </si>
  <si>
    <t>Quick Ratio (or Acid Test Ratio) (ideally 1:1)</t>
  </si>
  <si>
    <t>(Current Assets-Inventories)/Current Liabilities</t>
  </si>
  <si>
    <t>Cash Ratio (ideally close to 1:1)</t>
  </si>
  <si>
    <t>Cash/Current Liabilities</t>
  </si>
  <si>
    <t>Input data for Profitability Ratios:</t>
  </si>
  <si>
    <t>Gross Profit</t>
  </si>
  <si>
    <t>Operating Income</t>
  </si>
  <si>
    <t>Pre Tax Income</t>
  </si>
  <si>
    <t>Net Income (from continuing operations)</t>
  </si>
  <si>
    <t>Sales (Revenue)</t>
  </si>
  <si>
    <t>Total Equity</t>
  </si>
  <si>
    <t>Total Assets = NCA + CA</t>
  </si>
  <si>
    <t>PROFITABILITY RATIOS:</t>
  </si>
  <si>
    <t>Gross Margin</t>
  </si>
  <si>
    <t>Gross Profit/Sales</t>
  </si>
  <si>
    <t>Operating Margin</t>
  </si>
  <si>
    <t>Operating Income/Sales</t>
  </si>
  <si>
    <t>PreTax Margin</t>
  </si>
  <si>
    <t>PreTax Income/Sales</t>
  </si>
  <si>
    <t>Net Income/Sales</t>
  </si>
  <si>
    <t>Return on Equity (ROE)</t>
  </si>
  <si>
    <t>Net Income/Tot.Equity</t>
  </si>
  <si>
    <t>Return on Assets (ROA)</t>
  </si>
  <si>
    <t>Net Income/Tot.Assets</t>
  </si>
  <si>
    <t>LEVERAGE RATIOS Input:</t>
  </si>
  <si>
    <t>Total Debt</t>
  </si>
  <si>
    <t>Total Assets</t>
  </si>
  <si>
    <t>EBIT (Operating income)</t>
  </si>
  <si>
    <t>Interest Expense (Finance Cost from IS)</t>
  </si>
  <si>
    <t>LEVERAGE RATIOS:</t>
  </si>
  <si>
    <t>Total Debt/Total Equity</t>
  </si>
  <si>
    <t>Total Debt/(Tot.Equity+Tot.Debt)</t>
  </si>
  <si>
    <t>Total Assets/Total Equity</t>
  </si>
  <si>
    <t>EBIT/Interest Expense</t>
  </si>
  <si>
    <t>Input data for Working Capital Ratios:</t>
  </si>
  <si>
    <t>Trade and other receivables</t>
  </si>
  <si>
    <t>Trade and other payables</t>
  </si>
  <si>
    <t>Purchases (use cost of sales as proxy)</t>
  </si>
  <si>
    <t>Sales</t>
  </si>
  <si>
    <t>WORKING CAPITAL RATIOS:</t>
  </si>
  <si>
    <t>(Inventories/Purchases) x 360</t>
  </si>
  <si>
    <t>Account Receivable Days</t>
  </si>
  <si>
    <t>(Account Receivable/Sales) x 360</t>
  </si>
  <si>
    <t>Account Payable Days</t>
  </si>
  <si>
    <t>(Account Payable Days/Purchases) x 360</t>
  </si>
  <si>
    <t>Duration Working Capital Cycle</t>
  </si>
  <si>
    <t>Stock Period + Credit Period - Payable Period</t>
  </si>
  <si>
    <t>VALUATION RATIOS Input:</t>
  </si>
  <si>
    <t>Earnings (Net Income)</t>
  </si>
  <si>
    <t>Total Shares Outstanding (Basic weighted avg. num of shares)</t>
  </si>
  <si>
    <t>Current market price</t>
  </si>
  <si>
    <t>Dividends per share</t>
  </si>
  <si>
    <t>VALUATION RATIOS:</t>
  </si>
  <si>
    <t>Earnings per share</t>
  </si>
  <si>
    <t>Earnings/Tot.SharesOutstanding</t>
  </si>
  <si>
    <t>Market price/Earnings per share</t>
  </si>
  <si>
    <t>Tot.Equity/Tot.SharesOutstanding</t>
  </si>
  <si>
    <t>Tot.Dividends/Market Price</t>
  </si>
  <si>
    <t>CONSOLIDATED BALANCE SHEETS</t>
  </si>
  <si>
    <t>CONSOLIDATED INCOME STATEMENT</t>
  </si>
  <si>
    <t>CONSOLIDATED STATEMENT CASH FLOWS</t>
  </si>
  <si>
    <t>Assets ($ Mils)</t>
  </si>
  <si>
    <t>Total Operating Revenue</t>
  </si>
  <si>
    <t xml:space="preserve">Cash Flows from Operating Activities </t>
  </si>
  <si>
    <t>Current Assets:</t>
  </si>
  <si>
    <t>Cost of Revenue</t>
  </si>
  <si>
    <t>Net Earnings</t>
  </si>
  <si>
    <t>Net Loss</t>
  </si>
  <si>
    <t>Cash and Cash Equivalents</t>
  </si>
  <si>
    <t>Adjustment to Reconcile net earnings to Cash Flows from Operating Activities:</t>
  </si>
  <si>
    <t>Adjustments to reconcile net loss to net cash used in operating activities:</t>
  </si>
  <si>
    <t xml:space="preserve">Marketable Securities </t>
  </si>
  <si>
    <t>Restricted Cash</t>
  </si>
  <si>
    <t xml:space="preserve">Selling, Marketing and Administrative Expenses </t>
  </si>
  <si>
    <t xml:space="preserve">Depreciation and Amortization of property and Intangibles </t>
  </si>
  <si>
    <t>Depreciation and Amortization</t>
  </si>
  <si>
    <t>Accounts Receivable trade, Less Allowances for Doubtful Accounts</t>
  </si>
  <si>
    <t>Short-Term Investments</t>
  </si>
  <si>
    <t xml:space="preserve">Research and Development Expense </t>
  </si>
  <si>
    <t xml:space="preserve">Stock Based Compensation </t>
  </si>
  <si>
    <t>Stock-Based Compensation</t>
  </si>
  <si>
    <t>Accounts Receivable, Net</t>
  </si>
  <si>
    <t>Operating Expense</t>
  </si>
  <si>
    <t>Asset Write-Downs</t>
  </si>
  <si>
    <t>Other</t>
  </si>
  <si>
    <t>Prepaid Expense</t>
  </si>
  <si>
    <t>Contingent Consideration Reversal</t>
  </si>
  <si>
    <t>Changes in Assets and Liabilities:</t>
  </si>
  <si>
    <t>Assets Held for Sale</t>
  </si>
  <si>
    <t>Prepaid Expenses and Other Current Assets</t>
  </si>
  <si>
    <t>Net Non Operating Interest Income Expense</t>
  </si>
  <si>
    <t>Net Gain on Sale of Assets/ Businesses</t>
  </si>
  <si>
    <t xml:space="preserve">      Total Current Assets</t>
  </si>
  <si>
    <t>Other Income Expense</t>
  </si>
  <si>
    <t xml:space="preserve">Deferred Tax Provision </t>
  </si>
  <si>
    <t>Property, Plant and Equipment, Net</t>
  </si>
  <si>
    <t>Operating Lease right-of-use asset</t>
  </si>
  <si>
    <t>Pretax Income</t>
  </si>
  <si>
    <t xml:space="preserve">Credit Losses and Accounts Receivable Allowances </t>
  </si>
  <si>
    <t>Prepaid Expenses and Other Assets</t>
  </si>
  <si>
    <t>Intangible Assets, Net</t>
  </si>
  <si>
    <t>Property and Equipment, Net</t>
  </si>
  <si>
    <t>Tax Provision</t>
  </si>
  <si>
    <t xml:space="preserve">Changes in Assets and Liabilities, Net of Effects from Acquisitions and Divestitures: </t>
  </si>
  <si>
    <t>Accounts Payable, Accrued Expenses and Other Long-Term Liabilities</t>
  </si>
  <si>
    <t xml:space="preserve">Goodwill </t>
  </si>
  <si>
    <t>Goodwill</t>
  </si>
  <si>
    <t>Earnings From Equity Interest Net Of Tax</t>
  </si>
  <si>
    <t xml:space="preserve">(Increase)/Decrease in Accounts Receivable </t>
  </si>
  <si>
    <t>Deferred Revenue</t>
  </si>
  <si>
    <t>Deferred Taxes on Income</t>
  </si>
  <si>
    <t>Net Income Common Stockholders (Net Earnings)</t>
  </si>
  <si>
    <t xml:space="preserve">Increase in Inventories </t>
  </si>
  <si>
    <t>Operating Lease Liabilities</t>
  </si>
  <si>
    <t xml:space="preserve">Other Assets </t>
  </si>
  <si>
    <t>Other Assets</t>
  </si>
  <si>
    <t xml:space="preserve">Increase in Accounts Payable and Accrued Liabilities </t>
  </si>
  <si>
    <t>Net Cash Used in Operating Activitie</t>
  </si>
  <si>
    <t>Basic EPS</t>
  </si>
  <si>
    <t xml:space="preserve">Decrease/(Increase) in Other Current and Non-Current Assets </t>
  </si>
  <si>
    <t xml:space="preserve">Cash Flows from Investing Activities </t>
  </si>
  <si>
    <t>Liabilities and Shareholders' Equity</t>
  </si>
  <si>
    <t>Diluted EPS</t>
  </si>
  <si>
    <t xml:space="preserve">(Decrease)/Increase in Other Current and Non-Current Liabilities </t>
  </si>
  <si>
    <t>Purchases of Short-Term Investments</t>
  </si>
  <si>
    <t>Current Liabilities:</t>
  </si>
  <si>
    <t>Basic Average Shares</t>
  </si>
  <si>
    <t xml:space="preserve">Net Cash Flows from Operating Activities </t>
  </si>
  <si>
    <t>Proceeds from Sales of Short-Term Investments</t>
  </si>
  <si>
    <t>Loans and Notes Payable</t>
  </si>
  <si>
    <t>Accounts Payable</t>
  </si>
  <si>
    <t>Diluted Average Shares</t>
  </si>
  <si>
    <t>Proceeds from Maturities of Short-Term Investments</t>
  </si>
  <si>
    <t>Accrued Expenses</t>
  </si>
  <si>
    <t xml:space="preserve">Additions to Property, Plant and Equipment </t>
  </si>
  <si>
    <t>Purchases of Property and Equipment</t>
  </si>
  <si>
    <t xml:space="preserve">Accrued Liabilities </t>
  </si>
  <si>
    <t>Total Expenses</t>
  </si>
  <si>
    <t xml:space="preserve">Proceeds from the Disposal of Assets/Businesses, Net </t>
  </si>
  <si>
    <t xml:space="preserve">Net Cash Used by Investing Activities </t>
  </si>
  <si>
    <t>Accrued Rebates, Returns and Promotions</t>
  </si>
  <si>
    <t xml:space="preserve">      Total Current Liabilities</t>
  </si>
  <si>
    <t>Acquisitions, Net of Cash Acquired</t>
  </si>
  <si>
    <t xml:space="preserve">Cash Flows from Financing Activities </t>
  </si>
  <si>
    <t>Accrued Compensation and Employee Related Obligations</t>
  </si>
  <si>
    <t>Long term liabilities:</t>
  </si>
  <si>
    <t>Net Income From Continuing And Discontinued Operation</t>
  </si>
  <si>
    <t xml:space="preserve">Purchases of Investments </t>
  </si>
  <si>
    <t>Proceeds From Initial Public Offering, Net of Underwriting Commissions and Discounts</t>
  </si>
  <si>
    <t xml:space="preserve">Asccrued Taxes on Income </t>
  </si>
  <si>
    <t>Lease Financing Obligation, Net of Current Portion</t>
  </si>
  <si>
    <t>Normalized Income</t>
  </si>
  <si>
    <t xml:space="preserve">Sales of Investments </t>
  </si>
  <si>
    <t>Dividends Paid</t>
  </si>
  <si>
    <t>Operating Lease Liabilities, Net of Current Portion</t>
  </si>
  <si>
    <t>Interest Income</t>
  </si>
  <si>
    <t xml:space="preserve">Credit Support Agreements Activity, Net </t>
  </si>
  <si>
    <t>Proceeds from Exercise of Stock Options</t>
  </si>
  <si>
    <t>Long-Term Debt</t>
  </si>
  <si>
    <t>Other Long-Term Liabilities</t>
  </si>
  <si>
    <t>Interest Expense</t>
  </si>
  <si>
    <t xml:space="preserve">Other (Primarily Licenses and Milestones) </t>
  </si>
  <si>
    <t>Payment of Initial Public Offering Costs</t>
  </si>
  <si>
    <t>Total Liabilities</t>
  </si>
  <si>
    <t xml:space="preserve">Net Interest Income </t>
  </si>
  <si>
    <t>Taxes Paid Related to Net Share Settlement of Equity Awards</t>
  </si>
  <si>
    <t xml:space="preserve">Employee Related Obligations </t>
  </si>
  <si>
    <t>Commitments and Contingencies</t>
  </si>
  <si>
    <t>Proceeds from ESPP</t>
  </si>
  <si>
    <t>Long-Term Taxes Payable</t>
  </si>
  <si>
    <t>Redeemable Convertible Preferred Stock</t>
  </si>
  <si>
    <t>EBIT</t>
  </si>
  <si>
    <t xml:space="preserve">Dividends to Shareholders </t>
  </si>
  <si>
    <t>Purchase and retirement of Series D redeemable convertible preferred stock</t>
  </si>
  <si>
    <t>Other Liabilities</t>
  </si>
  <si>
    <t>Stockholders' Equity:</t>
  </si>
  <si>
    <t>EBITDA</t>
  </si>
  <si>
    <t xml:space="preserve">Repurchase of Common Stock </t>
  </si>
  <si>
    <t>Payments on Finance Lease Liabilities</t>
  </si>
  <si>
    <t>Preferred Stock, $0.0001 par Value</t>
  </si>
  <si>
    <t>Dividend Per Share</t>
  </si>
  <si>
    <t xml:space="preserve">Proceeds from Short-Term Debt </t>
  </si>
  <si>
    <t xml:space="preserve">Net Cash Used by Financing Activities </t>
  </si>
  <si>
    <t>Common Stock, $0.0001 par Value per Share</t>
  </si>
  <si>
    <t xml:space="preserve">Repayment of Short-Term Debt </t>
  </si>
  <si>
    <t xml:space="preserve">(Decrease)/Increase in Cash and Cash Equivalents </t>
  </si>
  <si>
    <t>Additional Paid-in Capital</t>
  </si>
  <si>
    <t xml:space="preserve">Proceeds from Long-Term Debt, Net of Issuance Costs </t>
  </si>
  <si>
    <t>Cash, Cash Equivalents and Restricted Cash</t>
  </si>
  <si>
    <t>Preferred Stock - Without par Value</t>
  </si>
  <si>
    <t>Accumulated Deficit</t>
  </si>
  <si>
    <t xml:space="preserve">Repayment of Long-Term Debt </t>
  </si>
  <si>
    <t>Beginning of the Period</t>
  </si>
  <si>
    <t>Common Stock - par Value $1.00 per Share</t>
  </si>
  <si>
    <t>Accumulated Other Comprehensive Income (loss)</t>
  </si>
  <si>
    <t xml:space="preserve">Proceeds from the Exercise of Stock Options/Employee Withholding Tax on Stock Awards, Net </t>
  </si>
  <si>
    <t>End of the Period</t>
  </si>
  <si>
    <t xml:space="preserve">Accumulated Other Comprehensive Income </t>
  </si>
  <si>
    <t xml:space="preserve">   Total Stockholders' Equity (deficit)</t>
  </si>
  <si>
    <t>Reconciliation of Cash, Cash Equivalents and Restricted Cash to the Consolidated Balance Sheets</t>
  </si>
  <si>
    <t xml:space="preserve">Retained Earnings </t>
  </si>
  <si>
    <t>Total Liabilities and Stockholders' Equity (deficit)</t>
  </si>
  <si>
    <t xml:space="preserve">Other </t>
  </si>
  <si>
    <t>Restricted Cash, Current</t>
  </si>
  <si>
    <t>Check to Balance Assets &amp; Liabilities/Equity</t>
  </si>
  <si>
    <t>Restricted Cash, Non-Current</t>
  </si>
  <si>
    <t>Total Cash, Cash Equivalents and Restricted Cash</t>
  </si>
  <si>
    <t>Less: Common Stock Held in Treasury, at Cost</t>
  </si>
  <si>
    <t xml:space="preserve">Effect of Exchange Rate Changes on Cash and Cash Equivalents </t>
  </si>
  <si>
    <t>Supplemental Disclosures of Cash Flow Information</t>
  </si>
  <si>
    <t xml:space="preserve">   Total Stockholders' Equity</t>
  </si>
  <si>
    <t>Cash Paid During the Period For:</t>
  </si>
  <si>
    <t>Total Liabilities and Stockholders' Equity</t>
  </si>
  <si>
    <t xml:space="preserve">Cash and Cash Equivalents, Beginning of Year </t>
  </si>
  <si>
    <t xml:space="preserve">Interest </t>
  </si>
  <si>
    <t xml:space="preserve">Cash and Cash Equivalents, End of Year </t>
  </si>
  <si>
    <t xml:space="preserve">Income Taxes </t>
  </si>
  <si>
    <t xml:space="preserve">Supplemental Cash Flow Data </t>
  </si>
  <si>
    <t>Supplemental Disclosures of Noncash Activities</t>
  </si>
  <si>
    <t xml:space="preserve">Cash Paid During the Year for: </t>
  </si>
  <si>
    <t>Equipment Acquired Under Capital Lease Obligations</t>
  </si>
  <si>
    <t>Deferred IPO Costs Included in Accounts Payable and Accrued Expenses</t>
  </si>
  <si>
    <t xml:space="preserve">Interest, Net of Amount Capitalized </t>
  </si>
  <si>
    <t>Capital Expenditures Included in Accounts Payable and Accrued Expenses</t>
  </si>
  <si>
    <t xml:space="preserve">Supplemental Schedule of Non-Cash Investing and Financing Activities </t>
  </si>
  <si>
    <t>Treasury Stock Issued for Employee Compensation and Stock Option Plans, Net of Cash Proceeds/ Employee Withholding Tax on Stock Awards</t>
  </si>
  <si>
    <t xml:space="preserve">Conversion of Debt </t>
  </si>
  <si>
    <t xml:space="preserve">Acquisitions </t>
  </si>
  <si>
    <t xml:space="preserve">Fair Value of Assets Acquired </t>
  </si>
  <si>
    <t xml:space="preserve">Fair Value of Liabilities Assumed </t>
  </si>
  <si>
    <t xml:space="preserve">Net Cash Paid for Acquisitions </t>
  </si>
  <si>
    <t xml:space="preserve">MVE: </t>
  </si>
  <si>
    <t>Basic Weighted Average Shares</t>
  </si>
  <si>
    <t>Share Price</t>
  </si>
  <si>
    <t>MVE</t>
  </si>
  <si>
    <t>Liabilities:</t>
  </si>
  <si>
    <t xml:space="preserve">Assets: </t>
  </si>
  <si>
    <t xml:space="preserve">Tobin's Q: </t>
  </si>
  <si>
    <t xml:space="preserve">   (MVE+Total Liabilities)/Total Asset</t>
  </si>
  <si>
    <t xml:space="preserve">DuPont Analysis </t>
  </si>
  <si>
    <t xml:space="preserve">DuPont: </t>
  </si>
  <si>
    <t xml:space="preserve">Net Profit </t>
  </si>
  <si>
    <t xml:space="preserve">Revenues </t>
  </si>
  <si>
    <t xml:space="preserve">Net Profit Margin </t>
  </si>
  <si>
    <t>TAT</t>
  </si>
  <si>
    <t xml:space="preserve">Leverage </t>
  </si>
  <si>
    <t xml:space="preserve">Total Asset Turnover </t>
  </si>
  <si>
    <t>Equity</t>
  </si>
  <si>
    <t xml:space="preserve">Return on Equity </t>
  </si>
  <si>
    <t>NPM * TAT * Leverage</t>
  </si>
  <si>
    <t>BALANCE SHEETS - COMMON SIZE</t>
  </si>
  <si>
    <t>INCOME STATEMENT - COMMON SIZE</t>
  </si>
  <si>
    <t>CASH FLOWS - COMMON SIZE</t>
  </si>
  <si>
    <t>Earnings Quality</t>
  </si>
  <si>
    <t>NOAs:</t>
  </si>
  <si>
    <t xml:space="preserve">Cash &amp; Cash Equivalent (Including Short-Term Investments) </t>
  </si>
  <si>
    <t>NOA</t>
  </si>
  <si>
    <t xml:space="preserve">Operating Assets </t>
  </si>
  <si>
    <t>NI</t>
  </si>
  <si>
    <t>CFO</t>
  </si>
  <si>
    <t xml:space="preserve">Long-term debt </t>
  </si>
  <si>
    <t>CFI</t>
  </si>
  <si>
    <t>Debt in current liabilities</t>
  </si>
  <si>
    <t xml:space="preserve">Operating Liabilities </t>
  </si>
  <si>
    <t xml:space="preserve">Cash Flow Accruals Ratio </t>
  </si>
  <si>
    <t>(NOA_t-NOA_(t-1))/(((NOA_t+NOA_(t-1)))⁄2)</t>
  </si>
  <si>
    <t>NI:</t>
  </si>
  <si>
    <t>Net Income (From Continuing Operations)</t>
  </si>
  <si>
    <t xml:space="preserve">Cash Flow From Operations </t>
  </si>
  <si>
    <t>Cash Flow From Investing</t>
  </si>
  <si>
    <t>(NI_t-(CFO_t+CFI_t ))/(((NOA_t+NOA_(t-1)))⁄2)</t>
  </si>
  <si>
    <t>Industry Valuation</t>
  </si>
  <si>
    <t>Price -to-Earning :</t>
  </si>
  <si>
    <t>Earnings per Share (EPS)</t>
  </si>
  <si>
    <t>Price Ratio</t>
  </si>
  <si>
    <t>Price-to-Earnings Ratio</t>
  </si>
  <si>
    <t>P/E :</t>
  </si>
  <si>
    <t>Estimated Share Price Bassed on P/E</t>
  </si>
  <si>
    <t>Estimated Share Price based on P/E</t>
  </si>
  <si>
    <t>P/B :</t>
  </si>
  <si>
    <t>Price-to-Book :</t>
  </si>
  <si>
    <t>P/S :</t>
  </si>
  <si>
    <t>Total Shareholders Equity</t>
  </si>
  <si>
    <t>P/CF :</t>
  </si>
  <si>
    <t>Numbers of shares outstanding</t>
  </si>
  <si>
    <t>P/D :</t>
  </si>
  <si>
    <t>Book Value per share</t>
  </si>
  <si>
    <t>Price Book Value Ratio</t>
  </si>
  <si>
    <t>Estimated Share Price based on P / Book Value</t>
  </si>
  <si>
    <t>Price-to-Sales :</t>
  </si>
  <si>
    <t>Total Revenue</t>
  </si>
  <si>
    <t>Revenue per Share</t>
  </si>
  <si>
    <t>Price Revenue Ratio</t>
  </si>
  <si>
    <t>P/Revenue Ratio</t>
  </si>
  <si>
    <t>Estimated Share Price based on P / Revenue</t>
  </si>
  <si>
    <t>Price-to-Cash Flow :</t>
  </si>
  <si>
    <t>Cash Flow from Operating Activities</t>
  </si>
  <si>
    <t>Cash flow per share</t>
  </si>
  <si>
    <t>Price Cash Flow Ratio</t>
  </si>
  <si>
    <t xml:space="preserve">Estimated Share Price Based on P/Cash </t>
  </si>
  <si>
    <t>Price-to-Dividends :</t>
  </si>
  <si>
    <t>Dividends Per Share</t>
  </si>
  <si>
    <t>Estimated Share Price based on Dividend Yield</t>
  </si>
  <si>
    <t>Product Category :</t>
  </si>
  <si>
    <t>Product Category</t>
  </si>
  <si>
    <t>Consumer Health</t>
  </si>
  <si>
    <t>Diapers and Wipes</t>
  </si>
  <si>
    <t>Pharmaceutical</t>
  </si>
  <si>
    <t>Skin and Personal Care</t>
  </si>
  <si>
    <t>Medical Devices</t>
  </si>
  <si>
    <t>Household and Wellness</t>
  </si>
  <si>
    <t>Revenues :</t>
  </si>
  <si>
    <t>Sales Channel</t>
  </si>
  <si>
    <t xml:space="preserve">United States </t>
  </si>
  <si>
    <t>Digital</t>
  </si>
  <si>
    <t>Europe</t>
  </si>
  <si>
    <t>Retail</t>
  </si>
  <si>
    <t>Western Hemisphere (Excluding U.S.</t>
  </si>
  <si>
    <t xml:space="preserve">Asia-Pacific, Africa </t>
  </si>
  <si>
    <t>Property, Plant and Equipment</t>
  </si>
  <si>
    <t>International (Excluding U.S.)</t>
  </si>
  <si>
    <t>Intangible Assets</t>
  </si>
  <si>
    <t>Long-Lived Assets :</t>
  </si>
  <si>
    <t>Area Asset Turnover</t>
  </si>
  <si>
    <t>Refinitive</t>
  </si>
  <si>
    <t xml:space="preserve">Johnson &amp; Johnson | Ratios - Key Metrics                                </t>
  </si>
  <si>
    <t xml:space="preserve">Johnson &amp; Johnson | Balance Sheet                                </t>
  </si>
  <si>
    <t>Johnson &amp; Johnson | Income Statement                   </t>
  </si>
  <si>
    <t>Johnson &amp; Johnson | Cash Flow                           </t>
  </si>
  <si>
    <t>Ratios - Key Metrics</t>
  </si>
  <si>
    <t>Balance Sheet</t>
  </si>
  <si>
    <t>Income Statement</t>
  </si>
  <si>
    <t>Cash Flow</t>
  </si>
  <si>
    <t>Annual Standardised in Millions of U.S. Dollars</t>
  </si>
  <si>
    <t>Industry Median</t>
  </si>
  <si>
    <t>Earnings Quality Score</t>
  </si>
  <si>
    <t>63 </t>
  </si>
  <si>
    <t>89 </t>
  </si>
  <si>
    <t>62 </t>
  </si>
  <si>
    <t>98 </t>
  </si>
  <si>
    <t>99 </t>
  </si>
  <si>
    <t>Period End Date</t>
  </si>
  <si>
    <t>01-Jan-2023 </t>
  </si>
  <si>
    <t>02-Jan-2022 </t>
  </si>
  <si>
    <t>03-Jan-2021 </t>
  </si>
  <si>
    <t>29-Dec-2019 </t>
  </si>
  <si>
    <t>30-Dec-2018 </t>
  </si>
  <si>
    <t>73.6% </t>
  </si>
  <si>
    <t>Assets ($ Millions)</t>
  </si>
  <si>
    <t>Revenue</t>
  </si>
  <si>
    <t>Cash Flow-Operating Activities ($ Millions)</t>
  </si>
  <si>
    <t>EBITDA Margin</t>
  </si>
  <si>
    <t>24.3% </t>
  </si>
  <si>
    <t>Cash and Short Term Investments</t>
  </si>
  <si>
    <t>Net Sales</t>
  </si>
  <si>
    <t>Net Income/Starting Line</t>
  </si>
  <si>
    <t>6.9% </t>
  </si>
  <si>
    <t>Cash</t>
  </si>
  <si>
    <t>Other Revenue, Total</t>
  </si>
  <si>
    <t>--</t>
  </si>
  <si>
    <t>Depreciation/Depletion</t>
  </si>
  <si>
    <t>Pretax Margin</t>
  </si>
  <si>
    <t>(2.4%) </t>
  </si>
  <si>
    <t>Cash &amp; Equivalents</t>
  </si>
  <si>
    <t>Depreciation</t>
  </si>
  <si>
    <t>Effective Tax Rate</t>
  </si>
  <si>
    <t>4.5% </t>
  </si>
  <si>
    <t>Short Term Investments</t>
  </si>
  <si>
    <t>Cost of Revenue, Total</t>
  </si>
  <si>
    <t>Amortization</t>
  </si>
  <si>
    <t>Net Margin</t>
  </si>
  <si>
    <t>(2.9%) </t>
  </si>
  <si>
    <t>Accounts Receivable - Trade, Net</t>
  </si>
  <si>
    <t>Deferred Taxes</t>
  </si>
  <si>
    <t>DuPont/Earning Power</t>
  </si>
  <si>
    <t>Accounts Receivable - Trade, Gross</t>
  </si>
  <si>
    <t>Non-Cash Items</t>
  </si>
  <si>
    <t>0.36 </t>
  </si>
  <si>
    <t>Provision for Doubtful Accounts</t>
  </si>
  <si>
    <t>Unusual Items</t>
  </si>
  <si>
    <t>x Pretax Margin</t>
  </si>
  <si>
    <t>Total Receivables, Net</t>
  </si>
  <si>
    <t>Selling/General/Admin. Expenses, Total</t>
  </si>
  <si>
    <t>Other Non-Cash Items</t>
  </si>
  <si>
    <t>Pretax ROA</t>
  </si>
  <si>
    <t>(1.3%) </t>
  </si>
  <si>
    <t>Total Inventory</t>
  </si>
  <si>
    <t>Selling/General/Administrative Expense</t>
  </si>
  <si>
    <t>Changes in Working Capital</t>
  </si>
  <si>
    <t>x Leverage (Assets/Equity)</t>
  </si>
  <si>
    <t>2.18 </t>
  </si>
  <si>
    <t>Inventories - Finished Goods</t>
  </si>
  <si>
    <t>Advertising Expense</t>
  </si>
  <si>
    <t>Accounts Receivable</t>
  </si>
  <si>
    <t>Pretax ROE</t>
  </si>
  <si>
    <t>(2.2%) </t>
  </si>
  <si>
    <t>Inventories - Work In Progress</t>
  </si>
  <si>
    <t>Research &amp; Development</t>
  </si>
  <si>
    <t>x Tax Complement</t>
  </si>
  <si>
    <t>1.00 </t>
  </si>
  <si>
    <t>Inventories - Raw Materials</t>
  </si>
  <si>
    <t>Depreciation/Amortization</t>
  </si>
  <si>
    <t>(5.4%) </t>
  </si>
  <si>
    <t>Prepaid Expenses</t>
  </si>
  <si>
    <t>Interest Expense, Net - Operating</t>
  </si>
  <si>
    <t>Payable/Accrued</t>
  </si>
  <si>
    <t>x Earnings Retention</t>
  </si>
  <si>
    <t>Other Current Assets, Total</t>
  </si>
  <si>
    <t>Interest Expense - Operating</t>
  </si>
  <si>
    <t>Reinvestment Rate</t>
  </si>
  <si>
    <t>(5.6%) </t>
  </si>
  <si>
    <t>Discontinued Operations - Current Asset</t>
  </si>
  <si>
    <t>Interest Capitalized - Operating</t>
  </si>
  <si>
    <t>Cash from Operating Activities</t>
  </si>
  <si>
    <t>Total Current Assets</t>
  </si>
  <si>
    <t>Interest/Investment Income - Operating</t>
  </si>
  <si>
    <t>1.32 </t>
  </si>
  <si>
    <t>Interest Income - Operating</t>
  </si>
  <si>
    <t>Cash Flow-Investing Activities ($ Millions)</t>
  </si>
  <si>
    <t>2.41 </t>
  </si>
  <si>
    <t>Property/Plant/Equipment, Total - Gross</t>
  </si>
  <si>
    <t>Investment Income - Operating</t>
  </si>
  <si>
    <t>Capital Expenditures</t>
  </si>
  <si>
    <t>Times Interest Earned</t>
  </si>
  <si>
    <t>1.6 </t>
  </si>
  <si>
    <t>Buildings - Gross</t>
  </si>
  <si>
    <t>Interest Expense(Income) - Net Operating</t>
  </si>
  <si>
    <t>Purchase of Fixed Assets</t>
  </si>
  <si>
    <t>Cash Cycle (Days)</t>
  </si>
  <si>
    <t>149.2 </t>
  </si>
  <si>
    <t>Land/Improvements - Gross</t>
  </si>
  <si>
    <t>Interest Exp.(Inc.),Net-Operating, Total</t>
  </si>
  <si>
    <t>Other Investing Cash Flow Items, Total</t>
  </si>
  <si>
    <t>Machinery/Equipment - Gross</t>
  </si>
  <si>
    <t>Unusual Expense (Income)</t>
  </si>
  <si>
    <t>Acquisition of Business</t>
  </si>
  <si>
    <t>Assets/Equity</t>
  </si>
  <si>
    <t>Construction in Progress - Gross</t>
  </si>
  <si>
    <t>Purchased R&amp;D Written-Off</t>
  </si>
  <si>
    <t>Sale of Fixed Assets</t>
  </si>
  <si>
    <t>Debt/Equity</t>
  </si>
  <si>
    <t>0.47 </t>
  </si>
  <si>
    <t>Other Property/Plant/Equipment - Gross</t>
  </si>
  <si>
    <t>Restructuring Charge</t>
  </si>
  <si>
    <t>Sale/Maturity of Investment</t>
  </si>
  <si>
    <t>% LT Debt to Total Capital</t>
  </si>
  <si>
    <t>27.8% </t>
  </si>
  <si>
    <t>Property/Plant/Equipment, Total - Net</t>
  </si>
  <si>
    <t>Litigation</t>
  </si>
  <si>
    <t>Investment, Net</t>
  </si>
  <si>
    <t>(Total Debt - Cash) / EBITDA</t>
  </si>
  <si>
    <t>1.55 </t>
  </si>
  <si>
    <t>Accumulated Depreciation, Total</t>
  </si>
  <si>
    <t>Impairment-Assets Held for Use</t>
  </si>
  <si>
    <t>Purchase of Investments</t>
  </si>
  <si>
    <t>Operating</t>
  </si>
  <si>
    <t>Goodwill, Net</t>
  </si>
  <si>
    <t>Other Unusual Expense (Income)</t>
  </si>
  <si>
    <t>Other Investing Cash Flow</t>
  </si>
  <si>
    <t>A/R Turnover</t>
  </si>
  <si>
    <t>5.3 </t>
  </si>
  <si>
    <t>Intangibles, Net</t>
  </si>
  <si>
    <t>Other Operating Expenses, Total</t>
  </si>
  <si>
    <t>Cash from Investing Activities</t>
  </si>
  <si>
    <t>Avg. A/R Days</t>
  </si>
  <si>
    <t>68.8 </t>
  </si>
  <si>
    <t>Intangibles - Gross</t>
  </si>
  <si>
    <t>Other, Net</t>
  </si>
  <si>
    <t>Inv Turnover</t>
  </si>
  <si>
    <t>2.0 </t>
  </si>
  <si>
    <t>Accumulated Intangible Amortization</t>
  </si>
  <si>
    <t>Total Operating Expense</t>
  </si>
  <si>
    <t>Cash Flow-Financing Activities ($ Millions)</t>
  </si>
  <si>
    <t>Avg. Inventory Days</t>
  </si>
  <si>
    <t>181.0 </t>
  </si>
  <si>
    <t>Long Term Investments</t>
  </si>
  <si>
    <t>Financing Cash Flow Items</t>
  </si>
  <si>
    <t>Avg. A/P Days</t>
  </si>
  <si>
    <t>77.5 </t>
  </si>
  <si>
    <t>LT Investment - Affiliate Companies</t>
  </si>
  <si>
    <t>Interest Expense, Net Non-Operating</t>
  </si>
  <si>
    <t>Other Financing Cash Flow</t>
  </si>
  <si>
    <t>3.37 </t>
  </si>
  <si>
    <t>Note Receivable - Long Term</t>
  </si>
  <si>
    <t>Interest/Invest Income - Non-Operating</t>
  </si>
  <si>
    <t>Total Cash Dividends Paid</t>
  </si>
  <si>
    <t>WC / Sales Growth</t>
  </si>
  <si>
    <t>Other Long Term Assets, Total</t>
  </si>
  <si>
    <t>Interest Income(Exp), Net Non-Operating</t>
  </si>
  <si>
    <t>Cash Dividends Paid - Common</t>
  </si>
  <si>
    <t>Bad Debt Allowance (% of A/R)</t>
  </si>
  <si>
    <t>2.8% </t>
  </si>
  <si>
    <t>Deferred Charges</t>
  </si>
  <si>
    <t>Interest Inc.(Exp.),Net-Non-Op., Total</t>
  </si>
  <si>
    <t>Issuance (Retirement) of Stock, Net</t>
  </si>
  <si>
    <t>ROIC</t>
  </si>
  <si>
    <t>- </t>
  </si>
  <si>
    <t>Defered Income Tax - Long Term Asset</t>
  </si>
  <si>
    <t>Gain (Loss) on Sale of Assets</t>
  </si>
  <si>
    <t>Repurchase/Retirement of Common</t>
  </si>
  <si>
    <t>Revenue per Employee ($)</t>
  </si>
  <si>
    <t>$644,993.2</t>
  </si>
  <si>
    <t>$679,036.9</t>
  </si>
  <si>
    <t>$619,302.6</t>
  </si>
  <si>
    <t>$613,984.3</t>
  </si>
  <si>
    <t>$606,324.8</t>
  </si>
  <si>
    <t>Other Long Term Assets</t>
  </si>
  <si>
    <t>Common Stock, Net</t>
  </si>
  <si>
    <t>Net Income Before Taxes</t>
  </si>
  <si>
    <t>Options Exercised</t>
  </si>
  <si>
    <t>Provision for Income Taxes</t>
  </si>
  <si>
    <t>Issuance (Retirement) of Debt, Net</t>
  </si>
  <si>
    <t>Liabilities ($ Millions)</t>
  </si>
  <si>
    <t>Net Income After Taxes</t>
  </si>
  <si>
    <t>Short Term Debt Issued</t>
  </si>
  <si>
    <t>Minority Interest</t>
  </si>
  <si>
    <t>Short Term Debt Reduction</t>
  </si>
  <si>
    <t>Equity In Affiliates</t>
  </si>
  <si>
    <t>Short Term Debt, Net</t>
  </si>
  <si>
    <t>U.S. GAAP Adjustment</t>
  </si>
  <si>
    <t>Long Term Debt Issued</t>
  </si>
  <si>
    <t>Notes Payable/Short Term Debt</t>
  </si>
  <si>
    <t>Net Income Before Extra. Items</t>
  </si>
  <si>
    <t>Long Term Debt Reduction</t>
  </si>
  <si>
    <t>Current Port. of LT Debt/Capital Leases</t>
  </si>
  <si>
    <t>Long Term Debt, Net</t>
  </si>
  <si>
    <t>Other Current liabilities, Total</t>
  </si>
  <si>
    <t>Accounting Change</t>
  </si>
  <si>
    <t>Cash from Financing Activities</t>
  </si>
  <si>
    <t>Income Taxes Payable</t>
  </si>
  <si>
    <t>Discontinued Operations</t>
  </si>
  <si>
    <t>Other Current Liabilities</t>
  </si>
  <si>
    <t>Extraordinary Item</t>
  </si>
  <si>
    <t>Foreign Exchange Effects</t>
  </si>
  <si>
    <t>Total Current Liabilities</t>
  </si>
  <si>
    <t>Tax on Extraordinary Items</t>
  </si>
  <si>
    <t>Net Change in Cash</t>
  </si>
  <si>
    <t>Total Extraordinary Items</t>
  </si>
  <si>
    <t>Total Long Term Debt</t>
  </si>
  <si>
    <t>Net Cash - Beginning Balance</t>
  </si>
  <si>
    <t>Long Term Debt</t>
  </si>
  <si>
    <t>Net Cash - Ending Balance</t>
  </si>
  <si>
    <t>Preferred Dividends</t>
  </si>
  <si>
    <t>Cash Interest Paid</t>
  </si>
  <si>
    <t>Deferred Income Tax</t>
  </si>
  <si>
    <t>General Partners' Distributions</t>
  </si>
  <si>
    <t>Cash Taxes Paid</t>
  </si>
  <si>
    <t>Deferred Income Tax - LT Liability</t>
  </si>
  <si>
    <t>Miscellaneous Earnings Adjustment</t>
  </si>
  <si>
    <t>Lease liability Issued, Supplemental</t>
  </si>
  <si>
    <t>Pro Forma Adjustment</t>
  </si>
  <si>
    <t>Lease liability Reduced, Supplemental</t>
  </si>
  <si>
    <t>Other Liabilities, Total</t>
  </si>
  <si>
    <t>Interest Adjustment - Primary EPS</t>
  </si>
  <si>
    <t>Lease liability Net, Supplemental</t>
  </si>
  <si>
    <t>Pension Benefits - Underfunded</t>
  </si>
  <si>
    <t>Total Adjustments to Net Income</t>
  </si>
  <si>
    <t>Share Based Payments, Supplemental</t>
  </si>
  <si>
    <t>Other Long Term Liabilities</t>
  </si>
  <si>
    <t>Income Available to Com Excl ExtraOrd</t>
  </si>
  <si>
    <t>Tax Payments - Employee Options&amp;Buy Back</t>
  </si>
  <si>
    <t>Income Available to Com Incl ExtraOrd</t>
  </si>
  <si>
    <t>Net Changes in Working Capital</t>
  </si>
  <si>
    <t>Reported Cash from Operating Activities</t>
  </si>
  <si>
    <t>Shareholders Equity ($ Millions)</t>
  </si>
  <si>
    <t>Basic EPS Excluding Extraordinary Items</t>
  </si>
  <si>
    <t>Reported Cash from Investing Activities</t>
  </si>
  <si>
    <t>Redeemable Preferred Stock, Total</t>
  </si>
  <si>
    <t>Basic EPS Including Extraordinary Items</t>
  </si>
  <si>
    <t>Reported Cash from Financing Activities</t>
  </si>
  <si>
    <t>Preferred Stock - Non Redeemable, Net</t>
  </si>
  <si>
    <t>Dilution Adjustment</t>
  </si>
  <si>
    <t>Convertible Preferred Stock - Non Rdmbl</t>
  </si>
  <si>
    <t>Diluted Net Income</t>
  </si>
  <si>
    <t>Free Cash Flow</t>
  </si>
  <si>
    <t>Common Stock, Total</t>
  </si>
  <si>
    <t>Diluted Weighted Average Shares</t>
  </si>
  <si>
    <t>Common Stock</t>
  </si>
  <si>
    <t>Diluted EPS Excluding ExtraOrd Items</t>
  </si>
  <si>
    <t>Additional Paid-In Capital</t>
  </si>
  <si>
    <t>Diluted EPS Including ExtraOrd Items</t>
  </si>
  <si>
    <t>Retained Earnings (Accumulated Deficit)</t>
  </si>
  <si>
    <t>Supplemental ($ Millions)</t>
  </si>
  <si>
    <t>Treasury Stock - Common</t>
  </si>
  <si>
    <t>DPS - Common Stock Primary Issue</t>
  </si>
  <si>
    <t>ESOP Debt Guarantee</t>
  </si>
  <si>
    <t>Dividends per Share - Com Stock Issue 2</t>
  </si>
  <si>
    <t>Unrealized Gain (Loss)</t>
  </si>
  <si>
    <t>Dividends per Share - Com Stock Issue 3</t>
  </si>
  <si>
    <t>Other Equity, Total</t>
  </si>
  <si>
    <t>Dividends per Share - Com Stock Issue 4</t>
  </si>
  <si>
    <t>Translation Adjustment</t>
  </si>
  <si>
    <t>Special DPS - Common Stock Primary Issue</t>
  </si>
  <si>
    <t>Minimum Pension Liability Adjustment</t>
  </si>
  <si>
    <t>Special DPS - Common Stock Issue 2</t>
  </si>
  <si>
    <t>Other Comprehensive Income</t>
  </si>
  <si>
    <t>Special DPS - Common Stock Issue 3</t>
  </si>
  <si>
    <t>Special DPS - Common Stock Issue 4</t>
  </si>
  <si>
    <t>Gross Dividends - Common Stock</t>
  </si>
  <si>
    <t>Total Liabilities &amp; Shareholders' Equity</t>
  </si>
  <si>
    <t>Pro Forma Stock Compensation Expense</t>
  </si>
  <si>
    <t>Net Income after Stock Based Comp. Exp.</t>
  </si>
  <si>
    <t>Basic EPS after Stock Based Comp. Exp.</t>
  </si>
  <si>
    <t>Shares Outstanding - Common Issue 2</t>
  </si>
  <si>
    <t>Diluted EPS after Stock Based Comp. Exp.</t>
  </si>
  <si>
    <t>Shares Outstanding - Common Issue 3</t>
  </si>
  <si>
    <t>(Gain) Loss on Sale of Assets, Suppl.</t>
  </si>
  <si>
    <t>Shares Outstanding - Common Issue 4</t>
  </si>
  <si>
    <t>Impairment-Assets Held for Sale, Suppl.</t>
  </si>
  <si>
    <t>Total Common Shares Outstanding</t>
  </si>
  <si>
    <t>Impairment-Assets Held for Use, Suppl.</t>
  </si>
  <si>
    <t>Shares Outs - Common Stock Primary Issue</t>
  </si>
  <si>
    <t>Litigation Charge, Supplemental</t>
  </si>
  <si>
    <t>Treas Shares - Common Stock Prmry Issue</t>
  </si>
  <si>
    <t>Purchased R&amp;D Written-Off, Supplemental</t>
  </si>
  <si>
    <t>Treasury Shares - Common Issue 2</t>
  </si>
  <si>
    <t>Restructuring Charge, Supplemental</t>
  </si>
  <si>
    <t>Treasury Shares - Common Issue 3</t>
  </si>
  <si>
    <t>Other Unusual Expense(Income), Suppl.</t>
  </si>
  <si>
    <t>Treasury Shares - Common Issue 4</t>
  </si>
  <si>
    <t>Non-Recurring Items, Supplemental, Total</t>
  </si>
  <si>
    <t>Total Preferred Shares Outstanding</t>
  </si>
  <si>
    <t>Total Special Items</t>
  </si>
  <si>
    <t>Treasury Shares - Preferred Issue 1</t>
  </si>
  <si>
    <t>Normalized Income Before Taxes</t>
  </si>
  <si>
    <t>Treasury Shares - Preferred Issue 2</t>
  </si>
  <si>
    <t>Effect of Special Items on Income Taxes</t>
  </si>
  <si>
    <t>Treasury Shares - Preferred Issue 3</t>
  </si>
  <si>
    <t>Inc Tax Ex Impact of Sp Items</t>
  </si>
  <si>
    <t>Treasury Shares - Preferred Issue 4</t>
  </si>
  <si>
    <t>Normalized Income After Taxes</t>
  </si>
  <si>
    <t>Treasury Shares - Preferred Issue 5</t>
  </si>
  <si>
    <t>Normalized Inc. Avail to Com.</t>
  </si>
  <si>
    <t>Treasury Shares - Preferred Issue 6</t>
  </si>
  <si>
    <t>Basic Normalized EPS</t>
  </si>
  <si>
    <t>Minority Interest - Redeemable</t>
  </si>
  <si>
    <t>Diluted Normalized EPS</t>
  </si>
  <si>
    <t>Minority Interest - Non Redeemable</t>
  </si>
  <si>
    <t>EPS, Supplemental</t>
  </si>
  <si>
    <t>Total Equity &amp; Minority Interest</t>
  </si>
  <si>
    <t>Funds From Operations - REIT</t>
  </si>
  <si>
    <t>Full-Time Employees</t>
  </si>
  <si>
    <t>Amort of Acquisition Costs, Supplemental</t>
  </si>
  <si>
    <t>Part-Time Employees</t>
  </si>
  <si>
    <t>Amort of Intangibles, Supplemental</t>
  </si>
  <si>
    <t>Number of Common Shareholders</t>
  </si>
  <si>
    <t>Amort. of Right-of-Use Intang.Assets,Sup</t>
  </si>
  <si>
    <t>Other Property/Plant/Equipment - Net</t>
  </si>
  <si>
    <t>Depreciation, Supplemental</t>
  </si>
  <si>
    <t>Intangibles - Net</t>
  </si>
  <si>
    <t>Depreciation of Right-of-Use Assets,Sup.</t>
  </si>
  <si>
    <t>Goodwill - Net</t>
  </si>
  <si>
    <t>Interest Expense, Supplemental</t>
  </si>
  <si>
    <t>Accumulated Goodwill Amortization Suppl.</t>
  </si>
  <si>
    <t>Interest Capitalized, Supplemental</t>
  </si>
  <si>
    <t>Accumulated Intangible Amort, Suppl.</t>
  </si>
  <si>
    <t>Interest Expense on Lease Liabs., Suppl.</t>
  </si>
  <si>
    <t>Wgt Avg Rem Lease Term (Yrs)-Oper Lease</t>
  </si>
  <si>
    <t>Interest Expense (Financial Oper), Suppl</t>
  </si>
  <si>
    <t>Wgt Avg Rem Lease Term (Yrs)-Fin Lease</t>
  </si>
  <si>
    <t>Net Revenues</t>
  </si>
  <si>
    <t>Wgt Avg Disc Rate - Operating Lease</t>
  </si>
  <si>
    <t>Rental Expense, Supplemental</t>
  </si>
  <si>
    <t>Wgt Avg Disc Rate - Finance Lease</t>
  </si>
  <si>
    <t>Labor &amp; Related Expense Suppl.</t>
  </si>
  <si>
    <t>Right-of-Use Assets-Cap.Lease,Net-Suppl.</t>
  </si>
  <si>
    <t>Stock-Based Compensation, Supplemental</t>
  </si>
  <si>
    <t>Right-of-Use Assets-Cap.Lease,Gross-Sup.</t>
  </si>
  <si>
    <t>Variable Lease Expense - Unclassified</t>
  </si>
  <si>
    <t>Right-of-Use Assets-Cap.Lease,Depr.-Sup.</t>
  </si>
  <si>
    <t>Variable Operating Lease Expenses</t>
  </si>
  <si>
    <t>Right-of-Use Assets-Op.Lease, Net-Suppl.</t>
  </si>
  <si>
    <t>Variable Financial Lease Expenses</t>
  </si>
  <si>
    <t>Right-of-Use Assets-Op.Lease, Gross-Sup.</t>
  </si>
  <si>
    <t>Short-Term Lease Cost</t>
  </si>
  <si>
    <t>Right-of-Use Assets-Op.Lease, Depr.-Sup.</t>
  </si>
  <si>
    <t>Sublease Income</t>
  </si>
  <si>
    <t>Non-Current Marketable Securities,Suppl.</t>
  </si>
  <si>
    <t>Lease Expense -Total</t>
  </si>
  <si>
    <t>Contract Assets - Short Term</t>
  </si>
  <si>
    <t>Advertising Expense, Supplemental</t>
  </si>
  <si>
    <t>Contract Assets - Long Term</t>
  </si>
  <si>
    <t>Equity in Affiliates, Supplemental</t>
  </si>
  <si>
    <t>Contract Liability - Long Term</t>
  </si>
  <si>
    <t>Minority Interest, Supplemental</t>
  </si>
  <si>
    <t>Contract Liability - Short Term</t>
  </si>
  <si>
    <t>Income Taxes - Non-Recurring Tax Change</t>
  </si>
  <si>
    <t>Deferred Revenue - Current</t>
  </si>
  <si>
    <t>Research &amp; Development Exp, Supplemental</t>
  </si>
  <si>
    <t>Deferred Revenue - Long Term</t>
  </si>
  <si>
    <t>Audit Fees</t>
  </si>
  <si>
    <t>Short Term Debt Financial Sector, Suppl.</t>
  </si>
  <si>
    <t>Audit-Related Fees</t>
  </si>
  <si>
    <t>Curr Port - LTD/Cap Lse Fin Sec., Suppl.</t>
  </si>
  <si>
    <t>Tax Fees</t>
  </si>
  <si>
    <t>Long Term Debt Financial Sector, Suppl.</t>
  </si>
  <si>
    <t>All Other Fees</t>
  </si>
  <si>
    <t>Capital Lease Oblig. - Fin Sector, Suppl</t>
  </si>
  <si>
    <t>Reported Recurring Revenue</t>
  </si>
  <si>
    <t>Curr. Port. of LT Capital Leases, Suppl.</t>
  </si>
  <si>
    <t>Reported Net Premiums Written</t>
  </si>
  <si>
    <t>Curr Port of LT Operating Leases, Suppl.</t>
  </si>
  <si>
    <t>Reported Total Revenue</t>
  </si>
  <si>
    <t>Long-Term Operating Lease Liabs., Suppl.</t>
  </si>
  <si>
    <t>Reported Operating Revenue</t>
  </si>
  <si>
    <t>Curr Derivative Liab. Hedging, Suppl.</t>
  </si>
  <si>
    <t>Reported Total Cost of Revenue</t>
  </si>
  <si>
    <t>Curr Derivative Liab. Spec./Trdg, Suppl.</t>
  </si>
  <si>
    <t>Reported Total Sales, General &amp; Admin.</t>
  </si>
  <si>
    <t>Non-Curr Derivative Liab. Hedging, Suppl</t>
  </si>
  <si>
    <t>Reported Gross Profit</t>
  </si>
  <si>
    <t>Non-Curr Derivative Liab Spec/Trdg Suppl</t>
  </si>
  <si>
    <t>Reported Operating Profit</t>
  </si>
  <si>
    <t>Leverage Ratio (Basel 3)</t>
  </si>
  <si>
    <t>Reported Operating Profit Margin</t>
  </si>
  <si>
    <t>Net Stable Funding Ratio (Basel 3)</t>
  </si>
  <si>
    <t>Reported Ordinary Profit</t>
  </si>
  <si>
    <t>Liquidity Coverage Ratio (Basel 3)</t>
  </si>
  <si>
    <t>Reported Net Income After Tax</t>
  </si>
  <si>
    <t>Capital Adequacy - Core Tier 1 (Value)</t>
  </si>
  <si>
    <t>Reported Basic EPS</t>
  </si>
  <si>
    <t>Capital Adequacy - Hybrid Tier 1 (Value)</t>
  </si>
  <si>
    <t>Reported Diluted EPS</t>
  </si>
  <si>
    <t>Capital Adequacy -Tier 1 Capital (Value)</t>
  </si>
  <si>
    <t>Reported Net Business Profits</t>
  </si>
  <si>
    <t>Capital Adequacy -Tier 2 Capital (Value)</t>
  </si>
  <si>
    <t>Islamic Income</t>
  </si>
  <si>
    <t>Capital Adequacy -Tier 3 Capital (Value)</t>
  </si>
  <si>
    <t>Zakat</t>
  </si>
  <si>
    <t>Capital Adequacy - Total Capital (Value)</t>
  </si>
  <si>
    <t>COVID-19 Non-Recurring Inc/Exp - Other</t>
  </si>
  <si>
    <t>Total Risk-Weighted Capital</t>
  </si>
  <si>
    <t>COVID-19 One-time Provisions</t>
  </si>
  <si>
    <t>Capital Adequacy - Core Tier 1 Capital %</t>
  </si>
  <si>
    <t>COVID-19 Restructuring Chrgs/Provisions</t>
  </si>
  <si>
    <t>Capital Adequacy - Tier 1 Capital %</t>
  </si>
  <si>
    <t>COVID-19 Impairment of Long-Term Assets</t>
  </si>
  <si>
    <t>Capital Adequacy - Tier 2 Capital %</t>
  </si>
  <si>
    <t>COVID-19 One-time Government Grants</t>
  </si>
  <si>
    <t>Capital Adequacy - Tier 3 Capital %</t>
  </si>
  <si>
    <t>COVID-19 Inc Taxes - Non-Recurring</t>
  </si>
  <si>
    <t>Capital Adequacy - Total Capital %</t>
  </si>
  <si>
    <t>Islamic Section, Supplemental</t>
  </si>
  <si>
    <t>Trading Account</t>
  </si>
  <si>
    <t>Normalized EBIT</t>
  </si>
  <si>
    <t>Credit Exposure</t>
  </si>
  <si>
    <t>Normalized EBITDA</t>
  </si>
  <si>
    <t>Non-Performing Loans</t>
  </si>
  <si>
    <t>Tax &amp; Pension Items ($ Millions)</t>
  </si>
  <si>
    <t>Assets under Management</t>
  </si>
  <si>
    <t>Current Tax - Total</t>
  </si>
  <si>
    <t>Loans - Stage 1 - Gross, Total</t>
  </si>
  <si>
    <t>Current Tax - Domestic</t>
  </si>
  <si>
    <t>Loans - Stage 2 - Gross, Total</t>
  </si>
  <si>
    <t>Current Tax - Foreign</t>
  </si>
  <si>
    <t>Loans - Stage 3 - Gross, Total</t>
  </si>
  <si>
    <t>Deferred Tax - Total</t>
  </si>
  <si>
    <t>Total Current Assets less Inventory</t>
  </si>
  <si>
    <t>Deferred Tax - Domestic</t>
  </si>
  <si>
    <t>Revolving Line of Credit - Outstanding</t>
  </si>
  <si>
    <t>Deferred Tax - Foreign</t>
  </si>
  <si>
    <t>Rvlvng Line of Credit - Principal Amount</t>
  </si>
  <si>
    <t>Income Tax - Total</t>
  </si>
  <si>
    <t>Rvlvng Line of Credit - Unused Amount</t>
  </si>
  <si>
    <t>Income Tax by Region - Total</t>
  </si>
  <si>
    <t>Loans - Gross Non-Performing-As Reported</t>
  </si>
  <si>
    <t>Domestic Pension Plan Expense</t>
  </si>
  <si>
    <t>Loans - Gross Non-Performing - As Rep -%</t>
  </si>
  <si>
    <t>Interest Cost - Domestic</t>
  </si>
  <si>
    <t>Non-Perform Asst-Oth than Loans- As Rep</t>
  </si>
  <si>
    <t>Service Cost - Domestic</t>
  </si>
  <si>
    <t>Non-Performing Assets-Loans &amp; Oth-As Rep</t>
  </si>
  <si>
    <t>Prior Service Cost - Domestic</t>
  </si>
  <si>
    <t>Net Debt Incl. Pref.Stock &amp; Min.Interest</t>
  </si>
  <si>
    <t>Expected Return on Assets - Domestic</t>
  </si>
  <si>
    <t>Tangible Book Value, Common Equity</t>
  </si>
  <si>
    <t>Actuarial Gains and Losses - Domestic</t>
  </si>
  <si>
    <t>Reported Total Assets</t>
  </si>
  <si>
    <t>Curtailments &amp; Settlements - Domestic</t>
  </si>
  <si>
    <t>Reported Total Liabilities</t>
  </si>
  <si>
    <t>Foreign Pension Plan Expense</t>
  </si>
  <si>
    <t>Shareholders' Equity Excl. Stock Subscr.</t>
  </si>
  <si>
    <t>Post-Retirement Plan Expense</t>
  </si>
  <si>
    <t>Reported Shareholder's Equity</t>
  </si>
  <si>
    <t>Interest Cost - Post-Retirement</t>
  </si>
  <si>
    <t>Reported Net Assets</t>
  </si>
  <si>
    <t>Service Cost - Post-Retirement</t>
  </si>
  <si>
    <t>Reported Net Assets to Total Assets</t>
  </si>
  <si>
    <t>Prior Service Cost - Post-Retirement</t>
  </si>
  <si>
    <t>Reported Return on Assets</t>
  </si>
  <si>
    <t>Expected Return on Assets - Post-Retir.</t>
  </si>
  <si>
    <t>Reported Return on Equity</t>
  </si>
  <si>
    <t>Actuarial Gains and Losses - Post-Retir.</t>
  </si>
  <si>
    <t>Islamic Investments &amp; Deposits</t>
  </si>
  <si>
    <t>Curtailments &amp; Settlements - Post-Retir.</t>
  </si>
  <si>
    <t>Islamic Receivables</t>
  </si>
  <si>
    <t>Total Pension Expense</t>
  </si>
  <si>
    <t>Islamic Debt</t>
  </si>
  <si>
    <t>Defined Contribution Expense - Domestic</t>
  </si>
  <si>
    <t>Defined Contribution Expense - Foreign</t>
  </si>
  <si>
    <t>Debt &amp; Lease, Pension Items ($ Millions)</t>
  </si>
  <si>
    <t>Assumptions</t>
  </si>
  <si>
    <t>Total Long Term Debt, Supplemental</t>
  </si>
  <si>
    <t>Discount Rate - Domestic</t>
  </si>
  <si>
    <t>Long Term Debt Maturing within 1 Year</t>
  </si>
  <si>
    <t>Discount Rate - Post-Retirement</t>
  </si>
  <si>
    <t>Long Term Debt Maturing in Year 2</t>
  </si>
  <si>
    <t>Expected Rate of Return - Domestic</t>
  </si>
  <si>
    <t>Long Term Debt Maturing in Year 3</t>
  </si>
  <si>
    <t>Compensation Rate - Domestic</t>
  </si>
  <si>
    <t>Long Term Debt Maturing in Year 4</t>
  </si>
  <si>
    <t>Compensation Rate - Post-Retirement</t>
  </si>
  <si>
    <t>Long Term Debt Maturing in Year 5</t>
  </si>
  <si>
    <t>Total Plan Interest Cost</t>
  </si>
  <si>
    <t>Long Term Debt Maturing in 2-3 Years</t>
  </si>
  <si>
    <t>Total Plan Service Cost</t>
  </si>
  <si>
    <t>Long Term Debt Maturing in 4-5 Years</t>
  </si>
  <si>
    <t>Total Plan Expected Return</t>
  </si>
  <si>
    <t>Long Term Debt Matur. in Year 6 &amp; Beyond</t>
  </si>
  <si>
    <t>Total Plan Other Expense</t>
  </si>
  <si>
    <t>Total Capital Leases, Supplemental</t>
  </si>
  <si>
    <t>Dividends and Capital Changes</t>
  </si>
  <si>
    <t>Total Operating Leases, Supplemental</t>
  </si>
  <si>
    <t>Johnson &amp; Johnson Ord Shs</t>
  </si>
  <si>
    <t>Operating Lease Payments Due in Year 1</t>
  </si>
  <si>
    <t>Cash Dividend</t>
  </si>
  <si>
    <t>$1.13 F</t>
  </si>
  <si>
    <t>$1.06 F</t>
  </si>
  <si>
    <t>$1.01 F</t>
  </si>
  <si>
    <t>$0.95 F</t>
  </si>
  <si>
    <t>$0.90 F</t>
  </si>
  <si>
    <t>Operating Lease Payments Due in Year 2</t>
  </si>
  <si>
    <t>(18-Oct) Ann. </t>
  </si>
  <si>
    <t>(21-Oct) Ann. </t>
  </si>
  <si>
    <t>(22-Oct) Ann. </t>
  </si>
  <si>
    <t>(17-Oct) Ann. </t>
  </si>
  <si>
    <t>Operating Lease Payments Due in Year 3</t>
  </si>
  <si>
    <t>$1.13 I</t>
  </si>
  <si>
    <t>$1.06 I</t>
  </si>
  <si>
    <t>$1.01 I</t>
  </si>
  <si>
    <t>$0.95 I</t>
  </si>
  <si>
    <t>$0.90 I</t>
  </si>
  <si>
    <t>Operating Lease Payments Due in Year 4</t>
  </si>
  <si>
    <t>(18-Jul) Ann. </t>
  </si>
  <si>
    <t>(19-Jul) Ann. </t>
  </si>
  <si>
    <t>(20-Jul) Ann. </t>
  </si>
  <si>
    <t>(15-Jul) Ann. </t>
  </si>
  <si>
    <t>(16-Jul) Ann. </t>
  </si>
  <si>
    <t>Operating Lease Payments Due in Year 5</t>
  </si>
  <si>
    <t>Operating Lease Pymts. Due in 2-3 Years</t>
  </si>
  <si>
    <t>(19-Apr) Ann. </t>
  </si>
  <si>
    <t>(20-Apr) Ann. </t>
  </si>
  <si>
    <t>(14-Apr) Ann. </t>
  </si>
  <si>
    <t>(25-Apr) Ann. </t>
  </si>
  <si>
    <t>(26-Apr) Ann. </t>
  </si>
  <si>
    <t>Operating Lease Pymts. Due in 4-5 Years</t>
  </si>
  <si>
    <t>$0.84 I</t>
  </si>
  <si>
    <t>Oper. Lse. Pymts. Due in Year 6 &amp; Beyond</t>
  </si>
  <si>
    <t>(04-Jan) Ann. </t>
  </si>
  <si>
    <t>(02-Jan) Ann. </t>
  </si>
  <si>
    <t>Operating Leases - Interest Cost</t>
  </si>
  <si>
    <t>Buyback</t>
  </si>
  <si>
    <t>1x</t>
  </si>
  <si>
    <t>Total Funded Status</t>
  </si>
  <si>
    <t>(14-Sep) </t>
  </si>
  <si>
    <t>(17-Dec) </t>
  </si>
  <si>
    <t>Pension Obligation - Domestic</t>
  </si>
  <si>
    <t>Dividends &amp; Capital Changes After Jan-2023</t>
  </si>
  <si>
    <t>Pension Obligation - Foreign</t>
  </si>
  <si>
    <t>Post-Retirement Obligation</t>
  </si>
  <si>
    <t>$1.19 F</t>
  </si>
  <si>
    <t>Plan Assets - Domestic</t>
  </si>
  <si>
    <t>(19-Oct) Ann. </t>
  </si>
  <si>
    <t>Plan Assets - Foreign</t>
  </si>
  <si>
    <t>$1.19 I</t>
  </si>
  <si>
    <t>Plan Assets - Post-Retirement</t>
  </si>
  <si>
    <t>Funded Status - Domestic</t>
  </si>
  <si>
    <t>Funded Status - Foreign</t>
  </si>
  <si>
    <t>(18-Apr) Ann. </t>
  </si>
  <si>
    <t>Funded Status - Post-Retirement</t>
  </si>
  <si>
    <t>Accumulated Obligation - Domestic</t>
  </si>
  <si>
    <t>(03-Jan) Ann. </t>
  </si>
  <si>
    <t>Accumulated Obligation - Foreign</t>
  </si>
  <si>
    <t>Demerger</t>
  </si>
  <si>
    <t>Adj. Factor 0x</t>
  </si>
  <si>
    <t>Unfunded Plan Obligations</t>
  </si>
  <si>
    <t>(30-Nov) </t>
  </si>
  <si>
    <t>Period End Assumptions</t>
  </si>
  <si>
    <t>Exchange Offer</t>
  </si>
  <si>
    <t>Adj. Factor 1x</t>
  </si>
  <si>
    <t>(23-Aug) </t>
  </si>
  <si>
    <t>Net Assets Recognized on Balance Sheet</t>
  </si>
  <si>
    <t>Prepaid Benefits - Domestic</t>
  </si>
  <si>
    <t>Prepaid Benefits - Post-Retirement</t>
  </si>
  <si>
    <t>Accrued Liabilities - Domestic</t>
  </si>
  <si>
    <t>Accrued Liabilities - Post-Retirement</t>
  </si>
  <si>
    <t>Asset Allocation</t>
  </si>
  <si>
    <t>Equity % - Domestic</t>
  </si>
  <si>
    <t>Debt Securities % - Domestic</t>
  </si>
  <si>
    <t>Total Plan Obligations</t>
  </si>
  <si>
    <t>Total Plan Assets</t>
  </si>
  <si>
    <t>Honest Company Inc | Ratios - Key Metrics                     </t>
  </si>
  <si>
    <t>Honest Company Inc | Balance Sheet                               </t>
  </si>
  <si>
    <t xml:space="preserve">Honest Company Inc | Income Statement                                </t>
  </si>
  <si>
    <t>Honest Company Inc | Cash Flow                              </t>
  </si>
  <si>
    <t>N/A</t>
  </si>
  <si>
    <t>3 </t>
  </si>
  <si>
    <t>22 </t>
  </si>
  <si>
    <t>N/A </t>
  </si>
  <si>
    <t>31-Dec-2022 </t>
  </si>
  <si>
    <t>31-Dec-2021 </t>
  </si>
  <si>
    <t>31-Dec-2020 </t>
  </si>
  <si>
    <t>31-Dec-2019 </t>
  </si>
  <si>
    <t>71.6% </t>
  </si>
  <si>
    <t>15.8% </t>
  </si>
  <si>
    <t>11.4% </t>
  </si>
  <si>
    <t>11.3% </t>
  </si>
  <si>
    <t>23.4% </t>
  </si>
  <si>
    <t xml:space="preserve">192,626	</t>
  </si>
  <si>
    <t xml:space="preserve">159,733	</t>
  </si>
  <si>
    <t>9.1% </t>
  </si>
  <si>
    <t>0.97 </t>
  </si>
  <si>
    <t>13.5% </t>
  </si>
  <si>
    <t>2.08 </t>
  </si>
  <si>
    <t>Labor &amp; Related Expense</t>
  </si>
  <si>
    <t>17.4% </t>
  </si>
  <si>
    <t>Restricted Cash - Current</t>
  </si>
  <si>
    <t xml:space="preserve">1,752	 </t>
  </si>
  <si>
    <t>0.75 </t>
  </si>
  <si>
    <t>15.7% </t>
  </si>
  <si>
    <t>0.85 </t>
  </si>
  <si>
    <t>8.2% </t>
  </si>
  <si>
    <t>1.22 </t>
  </si>
  <si>
    <t>2.20 </t>
  </si>
  <si>
    <t>8.5 </t>
  </si>
  <si>
    <t>148.1 </t>
  </si>
  <si>
    <t>107,311	.00</t>
  </si>
  <si>
    <t>0.34 </t>
  </si>
  <si>
    <t>32.3% </t>
  </si>
  <si>
    <t>Interest Expense - Non-Operating</t>
  </si>
  <si>
    <t>1.10 </t>
  </si>
  <si>
    <t>Investment Income - Non-Operating</t>
  </si>
  <si>
    <t>11.0 </t>
  </si>
  <si>
    <t>Restricted Cash - Long Term</t>
  </si>
  <si>
    <t>33.3 </t>
  </si>
  <si>
    <t>2.1 </t>
  </si>
  <si>
    <t>174.4 </t>
  </si>
  <si>
    <t>54.2 </t>
  </si>
  <si>
    <t>Sale/Issuance of Common</t>
  </si>
  <si>
    <t>6.54 </t>
  </si>
  <si>
    <t>(0.3%) </t>
  </si>
  <si>
    <t>Preferred Stock, Net</t>
  </si>
  <si>
    <t>2.5% </t>
  </si>
  <si>
    <t>$1,629,355.8</t>
  </si>
  <si>
    <t>$1,685,920.6</t>
  </si>
  <si>
    <t>Customer Advances</t>
  </si>
  <si>
    <t>Capital Lease Obligations</t>
  </si>
  <si>
    <t>Current Tax - Local</t>
  </si>
  <si>
    <t xml:space="preserve">No Data Provided. </t>
  </si>
  <si>
    <t>Interest Costs</t>
  </si>
  <si>
    <t>Capital Lease Payments Due in Year 1</t>
  </si>
  <si>
    <t>Capital Lease Payments Due in Year 2</t>
  </si>
  <si>
    <t>Capital Lease Payments Due in Year 3</t>
  </si>
  <si>
    <t>Capital Lease Payments Due in Year 4</t>
  </si>
  <si>
    <t>Capital Lease Payments Due in Year 5</t>
  </si>
  <si>
    <t>Capital Lease Payments Due in 2-3 Years</t>
  </si>
  <si>
    <t>Capital Lease Payments Due in 4-5 Years</t>
  </si>
  <si>
    <t>Cap. Lease Pymts. Due in Year 6 &amp; Beyond</t>
  </si>
  <si>
    <t>New York Stock Exchange Index</t>
  </si>
  <si>
    <t>The Honest Company, Inc.</t>
  </si>
  <si>
    <t>DATE</t>
  </si>
  <si>
    <t>NYSE</t>
  </si>
  <si>
    <t>JNJ</t>
  </si>
  <si>
    <t>HNST</t>
  </si>
  <si>
    <t>Close Price</t>
  </si>
  <si>
    <t>Returns</t>
  </si>
  <si>
    <t xml:space="preserve">Date </t>
  </si>
  <si>
    <t xml:space="preserve">Stock Price </t>
  </si>
  <si>
    <t>Average Daily Return</t>
  </si>
  <si>
    <t xml:space="preserve">Average Annual Return </t>
  </si>
  <si>
    <t xml:space="preserve">Variance </t>
  </si>
  <si>
    <t>Standard Deviation</t>
  </si>
  <si>
    <t xml:space="preserve">Covariance </t>
  </si>
  <si>
    <t xml:space="preserve">Variance - 2Y </t>
  </si>
  <si>
    <t>STD - 2Y</t>
  </si>
  <si>
    <t xml:space="preserve">Covariance -  2Y </t>
  </si>
  <si>
    <t xml:space="preserve">Beta </t>
  </si>
  <si>
    <t>Beta (Refinitiv)</t>
  </si>
  <si>
    <t>CAPM</t>
  </si>
  <si>
    <t>Sharpe Ratio</t>
  </si>
  <si>
    <t xml:space="preserve">Beating Market </t>
  </si>
  <si>
    <t>Number of Days</t>
  </si>
  <si>
    <t>US - RFR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</si>
</sst>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4" formatCode="0.00%;[Red]\(0.00%\)"/>
    <numFmt numFmtId="165" formatCode="#,##0.0_);[Red]\(#,##0.0\)"/>
    <numFmt numFmtId="166" formatCode="0.0%;[Red]\(0.0%\)"/>
    <numFmt numFmtId="167" formatCode="0_)"/>
    <numFmt numFmtId="168" formatCode="0.000"/>
  </numFmts>
  <fonts count="5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TimesNewRoman"/>
    </font>
    <font>
      <sz val="10"/>
      <color theme="1"/>
      <name val="Times New Roman"/>
      <family val="1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rgb="FFDC0A0A"/>
      <name val="Calibri"/>
      <family val="2"/>
      <scheme val="minor"/>
    </font>
    <font>
      <b/>
      <sz val="11"/>
      <color rgb="FF888888"/>
      <name val="Calibri"/>
      <family val="2"/>
      <scheme val="minor"/>
    </font>
    <font>
      <sz val="8"/>
      <color rgb="FF000000"/>
      <name val="Tahom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444444"/>
      <name val="Consolas"/>
      <family val="3"/>
    </font>
    <font>
      <b/>
      <sz val="11"/>
      <color rgb="FF444444"/>
      <name val="Consolas"/>
      <family val="3"/>
    </font>
    <font>
      <sz val="12"/>
      <color theme="1"/>
      <name val="Times New Roman"/>
      <family val="1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434343"/>
        <bgColor rgb="FF434343"/>
      </patternFill>
    </fill>
    <fill>
      <patternFill patternType="solid">
        <fgColor rgb="FFE7E6E6"/>
        <bgColor rgb="FFE7E6E6"/>
      </patternFill>
    </fill>
    <fill>
      <patternFill patternType="solid">
        <fgColor rgb="FFFF7E77"/>
        <bgColor indexed="64"/>
      </patternFill>
    </fill>
    <fill>
      <patternFill patternType="solid">
        <fgColor rgb="FFB8F0EC"/>
        <bgColor indexed="64"/>
      </patternFill>
    </fill>
    <fill>
      <patternFill patternType="solid">
        <fgColor rgb="FFABC4EA"/>
        <bgColor indexed="64"/>
      </patternFill>
    </fill>
    <fill>
      <patternFill patternType="solid">
        <fgColor rgb="FFF5F6F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A2D09C"/>
        <bgColor indexed="64"/>
      </patternFill>
    </fill>
    <fill>
      <patternFill patternType="solid">
        <fgColor rgb="FF309724"/>
        <bgColor indexed="64"/>
      </patternFill>
    </fill>
    <fill>
      <patternFill patternType="solid">
        <fgColor rgb="FFC8D7DE"/>
        <bgColor indexed="64"/>
      </patternFill>
    </fill>
    <fill>
      <patternFill patternType="solid">
        <fgColor rgb="FFE9EFF6"/>
        <bgColor indexed="64"/>
      </patternFill>
    </fill>
    <fill>
      <patternFill patternType="solid">
        <fgColor rgb="FFF2F4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6FB"/>
        <bgColor indexed="64"/>
      </patternFill>
    </fill>
    <fill>
      <patternFill patternType="solid">
        <fgColor rgb="FFC51312"/>
        <bgColor indexed="64"/>
      </patternFill>
    </fill>
    <fill>
      <patternFill patternType="solid">
        <fgColor rgb="FFE8A1A0"/>
        <bgColor indexed="64"/>
      </patternFill>
    </fill>
    <fill>
      <patternFill patternType="solid">
        <fgColor rgb="FFFF7E77"/>
        <bgColor rgb="FF000000"/>
      </patternFill>
    </fill>
    <fill>
      <patternFill patternType="solid">
        <fgColor rgb="FFB8F0EC"/>
        <bgColor rgb="FF000000"/>
      </patternFill>
    </fill>
    <fill>
      <patternFill patternType="solid">
        <fgColor rgb="FFD8E4BC"/>
        <bgColor rgb="FF000000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CCCCCC"/>
      </right>
      <top style="medium">
        <color rgb="FFC1C1C1"/>
      </top>
      <bottom style="medium">
        <color rgb="FFC1C1C1"/>
      </bottom>
      <diagonal/>
    </border>
    <border>
      <left/>
      <right/>
      <top style="medium">
        <color rgb="FFC1C1C1"/>
      </top>
      <bottom style="medium">
        <color rgb="FFC1C1C1"/>
      </bottom>
      <diagonal/>
    </border>
    <border>
      <left/>
      <right style="medium">
        <color rgb="FFCCCCCC"/>
      </right>
      <top style="medium">
        <color rgb="FFE5EBF4"/>
      </top>
      <bottom/>
      <diagonal/>
    </border>
    <border>
      <left/>
      <right/>
      <top style="medium">
        <color rgb="FFE5EBF4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C1C1C1"/>
      </bottom>
      <diagonal/>
    </border>
    <border>
      <left/>
      <right/>
      <top style="medium">
        <color rgb="FFE5EBF4"/>
      </top>
      <bottom style="medium">
        <color rgb="FFE5EBF4"/>
      </bottom>
      <diagonal/>
    </border>
    <border>
      <left/>
      <right/>
      <top/>
      <bottom style="medium">
        <color rgb="FFE5EBF4"/>
      </bottom>
      <diagonal/>
    </border>
    <border>
      <left/>
      <right style="medium">
        <color rgb="FFCCCCCC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CCCCCC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C1C1C1"/>
      </top>
      <bottom/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3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420">
    <xf numFmtId="0" fontId="0" fillId="0" borderId="0" xfId="0"/>
    <xf numFmtId="0" fontId="16" fillId="0" borderId="0" xfId="0" applyFont="1"/>
    <xf numFmtId="0" fontId="16" fillId="33" borderId="0" xfId="0" applyFont="1" applyFill="1"/>
    <xf numFmtId="0" fontId="0" fillId="33" borderId="0" xfId="0" applyFill="1"/>
    <xf numFmtId="0" fontId="16" fillId="34" borderId="0" xfId="0" applyFont="1" applyFill="1"/>
    <xf numFmtId="0" fontId="16" fillId="35" borderId="0" xfId="0" applyFont="1" applyFill="1"/>
    <xf numFmtId="0" fontId="16" fillId="36" borderId="0" xfId="0" applyFont="1" applyFill="1"/>
    <xf numFmtId="0" fontId="0" fillId="36" borderId="0" xfId="0" applyFill="1"/>
    <xf numFmtId="0" fontId="16" fillId="37" borderId="0" xfId="0" applyFont="1" applyFill="1"/>
    <xf numFmtId="0" fontId="16" fillId="38" borderId="0" xfId="0" applyFont="1" applyFill="1"/>
    <xf numFmtId="3" fontId="0" fillId="0" borderId="0" xfId="0" applyNumberFormat="1"/>
    <xf numFmtId="38" fontId="0" fillId="0" borderId="0" xfId="0" applyNumberFormat="1"/>
    <xf numFmtId="10" fontId="0" fillId="36" borderId="0" xfId="1" applyNumberFormat="1" applyFont="1" applyFill="1"/>
    <xf numFmtId="0" fontId="14" fillId="0" borderId="0" xfId="0" applyFont="1"/>
    <xf numFmtId="0" fontId="0" fillId="34" borderId="0" xfId="0" applyFill="1"/>
    <xf numFmtId="0" fontId="0" fillId="33" borderId="10" xfId="0" applyFill="1" applyBorder="1"/>
    <xf numFmtId="0" fontId="16" fillId="33" borderId="10" xfId="0" applyFont="1" applyFill="1" applyBorder="1"/>
    <xf numFmtId="0" fontId="0" fillId="0" borderId="10" xfId="0" applyBorder="1"/>
    <xf numFmtId="3" fontId="0" fillId="0" borderId="10" xfId="0" applyNumberFormat="1" applyBorder="1"/>
    <xf numFmtId="0" fontId="16" fillId="34" borderId="10" xfId="0" applyFont="1" applyFill="1" applyBorder="1"/>
    <xf numFmtId="0" fontId="0" fillId="34" borderId="10" xfId="0" applyFill="1" applyBorder="1"/>
    <xf numFmtId="2" fontId="0" fillId="34" borderId="10" xfId="0" applyNumberFormat="1" applyFill="1" applyBorder="1"/>
    <xf numFmtId="2" fontId="0" fillId="0" borderId="0" xfId="0" applyNumberFormat="1"/>
    <xf numFmtId="0" fontId="0" fillId="37" borderId="0" xfId="0" applyFill="1"/>
    <xf numFmtId="0" fontId="0" fillId="37" borderId="10" xfId="0" applyFill="1" applyBorder="1"/>
    <xf numFmtId="0" fontId="16" fillId="37" borderId="11" xfId="0" applyFont="1" applyFill="1" applyBorder="1"/>
    <xf numFmtId="0" fontId="0" fillId="37" borderId="11" xfId="0" applyFill="1" applyBorder="1"/>
    <xf numFmtId="2" fontId="0" fillId="37" borderId="10" xfId="0" applyNumberFormat="1" applyFill="1" applyBorder="1"/>
    <xf numFmtId="0" fontId="0" fillId="38" borderId="0" xfId="0" applyFill="1"/>
    <xf numFmtId="0" fontId="16" fillId="38" borderId="12" xfId="0" applyFont="1" applyFill="1" applyBorder="1"/>
    <xf numFmtId="0" fontId="0" fillId="38" borderId="12" xfId="0" applyFill="1" applyBorder="1"/>
    <xf numFmtId="0" fontId="16" fillId="38" borderId="11" xfId="0" applyFont="1" applyFill="1" applyBorder="1"/>
    <xf numFmtId="0" fontId="0" fillId="38" borderId="11" xfId="0" applyFill="1" applyBorder="1"/>
    <xf numFmtId="0" fontId="0" fillId="38" borderId="10" xfId="0" applyFill="1" applyBorder="1"/>
    <xf numFmtId="2" fontId="0" fillId="38" borderId="10" xfId="0" applyNumberFormat="1" applyFill="1" applyBorder="1"/>
    <xf numFmtId="0" fontId="19" fillId="0" borderId="0" xfId="0" applyFont="1"/>
    <xf numFmtId="0" fontId="16" fillId="33" borderId="11" xfId="0" applyFont="1" applyFill="1" applyBorder="1"/>
    <xf numFmtId="4" fontId="0" fillId="0" borderId="0" xfId="0" applyNumberFormat="1"/>
    <xf numFmtId="3" fontId="20" fillId="0" borderId="0" xfId="0" applyNumberFormat="1" applyFont="1"/>
    <xf numFmtId="0" fontId="21" fillId="0" borderId="0" xfId="0" applyFont="1"/>
    <xf numFmtId="0" fontId="22" fillId="39" borderId="13" xfId="0" applyFont="1" applyFill="1" applyBorder="1" applyAlignment="1">
      <alignment horizontal="center" vertical="center" wrapText="1"/>
    </xf>
    <xf numFmtId="0" fontId="22" fillId="39" borderId="19" xfId="0" applyFont="1" applyFill="1" applyBorder="1" applyAlignment="1">
      <alignment horizontal="center" vertical="center"/>
    </xf>
    <xf numFmtId="9" fontId="0" fillId="0" borderId="0" xfId="1" applyFont="1"/>
    <xf numFmtId="10" fontId="0" fillId="0" borderId="0" xfId="1" applyNumberFormat="1" applyFont="1"/>
    <xf numFmtId="14" fontId="23" fillId="0" borderId="14" xfId="0" applyNumberFormat="1" applyFont="1" applyBorder="1" applyAlignment="1">
      <alignment horizontal="center" vertical="center" wrapText="1"/>
    </xf>
    <xf numFmtId="0" fontId="22" fillId="40" borderId="20" xfId="0" applyFont="1" applyFill="1" applyBorder="1" applyAlignment="1">
      <alignment horizontal="center"/>
    </xf>
    <xf numFmtId="0" fontId="24" fillId="39" borderId="13" xfId="0" applyFont="1" applyFill="1" applyBorder="1" applyAlignment="1">
      <alignment horizontal="left"/>
    </xf>
    <xf numFmtId="0" fontId="25" fillId="0" borderId="0" xfId="0" applyFont="1"/>
    <xf numFmtId="0" fontId="24" fillId="39" borderId="21" xfId="0" applyFont="1" applyFill="1" applyBorder="1" applyAlignment="1">
      <alignment horizontal="left"/>
    </xf>
    <xf numFmtId="0" fontId="23" fillId="0" borderId="13" xfId="0" applyFont="1" applyBorder="1" applyAlignment="1">
      <alignment horizontal="center"/>
    </xf>
    <xf numFmtId="10" fontId="24" fillId="37" borderId="13" xfId="0" applyNumberFormat="1" applyFont="1" applyFill="1" applyBorder="1" applyAlignment="1">
      <alignment horizontal="center" vertical="center" wrapText="1"/>
    </xf>
    <xf numFmtId="0" fontId="24" fillId="40" borderId="20" xfId="0" applyFont="1" applyFill="1" applyBorder="1"/>
    <xf numFmtId="0" fontId="24" fillId="39" borderId="13" xfId="0" applyFont="1" applyFill="1" applyBorder="1" applyAlignment="1">
      <alignment horizontal="center"/>
    </xf>
    <xf numFmtId="10" fontId="24" fillId="39" borderId="13" xfId="0" applyNumberFormat="1" applyFont="1" applyFill="1" applyBorder="1" applyAlignment="1">
      <alignment horizontal="center"/>
    </xf>
    <xf numFmtId="0" fontId="22" fillId="39" borderId="22" xfId="0" applyFont="1" applyFill="1" applyBorder="1" applyAlignment="1">
      <alignment horizontal="center"/>
    </xf>
    <xf numFmtId="10" fontId="22" fillId="39" borderId="23" xfId="0" applyNumberFormat="1" applyFont="1" applyFill="1" applyBorder="1" applyAlignment="1">
      <alignment horizontal="center"/>
    </xf>
    <xf numFmtId="0" fontId="24" fillId="0" borderId="22" xfId="0" applyFont="1" applyBorder="1" applyAlignment="1">
      <alignment horizontal="center"/>
    </xf>
    <xf numFmtId="10" fontId="24" fillId="0" borderId="23" xfId="0" applyNumberFormat="1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39" borderId="22" xfId="0" applyFont="1" applyFill="1" applyBorder="1" applyAlignment="1">
      <alignment horizontal="center"/>
    </xf>
    <xf numFmtId="0" fontId="24" fillId="39" borderId="23" xfId="0" applyFont="1" applyFill="1" applyBorder="1" applyAlignment="1">
      <alignment horizontal="center"/>
    </xf>
    <xf numFmtId="2" fontId="24" fillId="0" borderId="0" xfId="0" applyNumberFormat="1" applyFont="1" applyAlignment="1">
      <alignment horizontal="center"/>
    </xf>
    <xf numFmtId="10" fontId="24" fillId="0" borderId="22" xfId="0" applyNumberFormat="1" applyFont="1" applyBorder="1" applyAlignment="1">
      <alignment horizontal="center"/>
    </xf>
    <xf numFmtId="0" fontId="22" fillId="39" borderId="13" xfId="0" applyFont="1" applyFill="1" applyBorder="1" applyAlignment="1">
      <alignment horizontal="center" vertical="center"/>
    </xf>
    <xf numFmtId="10" fontId="24" fillId="42" borderId="13" xfId="0" applyNumberFormat="1" applyFont="1" applyFill="1" applyBorder="1" applyAlignment="1">
      <alignment horizontal="center" vertical="center" wrapText="1"/>
    </xf>
    <xf numFmtId="10" fontId="24" fillId="43" borderId="13" xfId="0" applyNumberFormat="1" applyFont="1" applyFill="1" applyBorder="1" applyAlignment="1">
      <alignment horizontal="center" vertical="center" wrapText="1"/>
    </xf>
    <xf numFmtId="0" fontId="25" fillId="41" borderId="22" xfId="0" applyFont="1" applyFill="1" applyBorder="1"/>
    <xf numFmtId="0" fontId="2" fillId="0" borderId="22" xfId="0" applyFont="1" applyBorder="1" applyAlignment="1">
      <alignment horizontal="center"/>
    </xf>
    <xf numFmtId="10" fontId="2" fillId="0" borderId="22" xfId="0" applyNumberFormat="1" applyFont="1" applyBorder="1" applyAlignment="1">
      <alignment horizontal="center"/>
    </xf>
    <xf numFmtId="0" fontId="2" fillId="41" borderId="22" xfId="0" applyFont="1" applyFill="1" applyBorder="1" applyAlignment="1">
      <alignment horizontal="center"/>
    </xf>
    <xf numFmtId="0" fontId="27" fillId="0" borderId="0" xfId="0" applyFont="1"/>
    <xf numFmtId="0" fontId="28" fillId="44" borderId="24" xfId="0" applyFont="1" applyFill="1" applyBorder="1" applyAlignment="1">
      <alignment horizontal="left"/>
    </xf>
    <xf numFmtId="0" fontId="28" fillId="44" borderId="24" xfId="0" applyFont="1" applyFill="1" applyBorder="1" applyAlignment="1">
      <alignment horizontal="right"/>
    </xf>
    <xf numFmtId="0" fontId="16" fillId="45" borderId="25" xfId="0" applyFont="1" applyFill="1" applyBorder="1" applyAlignment="1">
      <alignment horizontal="left"/>
    </xf>
    <xf numFmtId="0" fontId="29" fillId="46" borderId="26" xfId="0" applyFont="1" applyFill="1" applyBorder="1" applyAlignment="1">
      <alignment horizontal="center" vertical="top"/>
    </xf>
    <xf numFmtId="0" fontId="30" fillId="47" borderId="26" xfId="0" applyFont="1" applyFill="1" applyBorder="1" applyAlignment="1">
      <alignment horizontal="center" vertical="top"/>
    </xf>
    <xf numFmtId="0" fontId="31" fillId="48" borderId="26" xfId="0" applyFont="1" applyFill="1" applyBorder="1" applyAlignment="1">
      <alignment horizontal="center" vertical="top"/>
    </xf>
    <xf numFmtId="0" fontId="27" fillId="45" borderId="27" xfId="0" applyFont="1" applyFill="1" applyBorder="1" applyAlignment="1">
      <alignment horizontal="right"/>
    </xf>
    <xf numFmtId="38" fontId="27" fillId="45" borderId="28" xfId="0" applyNumberFormat="1" applyFont="1" applyFill="1" applyBorder="1" applyAlignment="1">
      <alignment horizontal="right"/>
    </xf>
    <xf numFmtId="0" fontId="27" fillId="49" borderId="0" xfId="0" applyFont="1" applyFill="1" applyAlignment="1">
      <alignment horizontal="left"/>
    </xf>
    <xf numFmtId="0" fontId="27" fillId="50" borderId="27" xfId="0" applyFont="1" applyFill="1" applyBorder="1" applyAlignment="1">
      <alignment horizontal="left"/>
    </xf>
    <xf numFmtId="38" fontId="27" fillId="50" borderId="28" xfId="0" applyNumberFormat="1" applyFont="1" applyFill="1" applyBorder="1" applyAlignment="1">
      <alignment horizontal="right" wrapText="1"/>
    </xf>
    <xf numFmtId="0" fontId="27" fillId="51" borderId="27" xfId="0" applyFont="1" applyFill="1" applyBorder="1" applyAlignment="1">
      <alignment horizontal="left" indent="2"/>
    </xf>
    <xf numFmtId="38" fontId="27" fillId="45" borderId="28" xfId="0" applyNumberFormat="1" applyFont="1" applyFill="1" applyBorder="1" applyAlignment="1">
      <alignment horizontal="right" wrapText="1"/>
    </xf>
    <xf numFmtId="0" fontId="27" fillId="0" borderId="27" xfId="0" applyFont="1" applyBorder="1" applyAlignment="1">
      <alignment horizontal="left"/>
    </xf>
    <xf numFmtId="38" fontId="27" fillId="0" borderId="28" xfId="0" applyNumberFormat="1" applyFont="1" applyBorder="1" applyAlignment="1">
      <alignment horizontal="right" wrapText="1"/>
    </xf>
    <xf numFmtId="0" fontId="27" fillId="0" borderId="28" xfId="0" applyFont="1" applyBorder="1" applyAlignment="1">
      <alignment horizontal="left" wrapText="1"/>
    </xf>
    <xf numFmtId="164" fontId="27" fillId="0" borderId="28" xfId="0" applyNumberFormat="1" applyFont="1" applyBorder="1" applyAlignment="1">
      <alignment horizontal="right" wrapText="1"/>
    </xf>
    <xf numFmtId="40" fontId="27" fillId="0" borderId="28" xfId="0" applyNumberFormat="1" applyFont="1" applyBorder="1" applyAlignment="1">
      <alignment horizontal="right" wrapText="1"/>
    </xf>
    <xf numFmtId="164" fontId="27" fillId="45" borderId="28" xfId="0" applyNumberFormat="1" applyFont="1" applyFill="1" applyBorder="1" applyAlignment="1">
      <alignment horizontal="right" wrapText="1"/>
    </xf>
    <xf numFmtId="0" fontId="0" fillId="49" borderId="0" xfId="0" applyFill="1" applyAlignment="1">
      <alignment horizontal="left" wrapText="1"/>
    </xf>
    <xf numFmtId="165" fontId="27" fillId="50" borderId="28" xfId="0" applyNumberFormat="1" applyFont="1" applyFill="1" applyBorder="1" applyAlignment="1">
      <alignment horizontal="right" wrapText="1"/>
    </xf>
    <xf numFmtId="0" fontId="27" fillId="51" borderId="27" xfId="0" applyFont="1" applyFill="1" applyBorder="1" applyAlignment="1">
      <alignment horizontal="left" wrapText="1" indent="2"/>
    </xf>
    <xf numFmtId="38" fontId="27" fillId="45" borderId="0" xfId="0" applyNumberFormat="1" applyFont="1" applyFill="1" applyAlignment="1">
      <alignment horizontal="right" wrapText="1"/>
    </xf>
    <xf numFmtId="0" fontId="27" fillId="49" borderId="0" xfId="0" applyFont="1" applyFill="1" applyAlignment="1">
      <alignment horizontal="left" wrapText="1"/>
    </xf>
    <xf numFmtId="0" fontId="27" fillId="51" borderId="28" xfId="0" applyFont="1" applyFill="1" applyBorder="1" applyAlignment="1">
      <alignment wrapText="1"/>
    </xf>
    <xf numFmtId="0" fontId="27" fillId="0" borderId="0" xfId="0" applyFont="1" applyAlignment="1">
      <alignment wrapText="1"/>
    </xf>
    <xf numFmtId="0" fontId="28" fillId="44" borderId="24" xfId="0" applyFont="1" applyFill="1" applyBorder="1" applyAlignment="1">
      <alignment horizontal="center"/>
    </xf>
    <xf numFmtId="0" fontId="27" fillId="51" borderId="27" xfId="0" applyFont="1" applyFill="1" applyBorder="1"/>
    <xf numFmtId="0" fontId="27" fillId="51" borderId="28" xfId="0" applyFont="1" applyFill="1" applyBorder="1" applyAlignment="1">
      <alignment horizontal="right" wrapText="1"/>
    </xf>
    <xf numFmtId="0" fontId="27" fillId="52" borderId="27" xfId="0" applyFont="1" applyFill="1" applyBorder="1" applyAlignment="1">
      <alignment horizontal="left"/>
    </xf>
    <xf numFmtId="38" fontId="27" fillId="53" borderId="28" xfId="0" applyNumberFormat="1" applyFont="1" applyFill="1" applyBorder="1" applyAlignment="1">
      <alignment horizontal="right" wrapText="1"/>
    </xf>
    <xf numFmtId="166" fontId="27" fillId="0" borderId="28" xfId="0" applyNumberFormat="1" applyFont="1" applyBorder="1" applyAlignment="1">
      <alignment horizontal="right"/>
    </xf>
    <xf numFmtId="38" fontId="32" fillId="53" borderId="28" xfId="0" applyNumberFormat="1" applyFont="1" applyFill="1" applyBorder="1" applyAlignment="1">
      <alignment horizontal="right" wrapText="1"/>
    </xf>
    <xf numFmtId="40" fontId="27" fillId="0" borderId="28" xfId="0" applyNumberFormat="1" applyFont="1" applyBorder="1" applyAlignment="1">
      <alignment horizontal="right"/>
    </xf>
    <xf numFmtId="165" fontId="27" fillId="0" borderId="28" xfId="0" applyNumberFormat="1" applyFont="1" applyBorder="1" applyAlignment="1">
      <alignment horizontal="right"/>
    </xf>
    <xf numFmtId="0" fontId="31" fillId="54" borderId="26" xfId="0" applyFont="1" applyFill="1" applyBorder="1" applyAlignment="1">
      <alignment horizontal="center" vertical="top"/>
    </xf>
    <xf numFmtId="0" fontId="30" fillId="55" borderId="26" xfId="0" applyFont="1" applyFill="1" applyBorder="1" applyAlignment="1">
      <alignment horizontal="center" vertical="top"/>
    </xf>
    <xf numFmtId="0" fontId="33" fillId="52" borderId="26" xfId="0" applyFont="1" applyFill="1" applyBorder="1" applyAlignment="1">
      <alignment horizontal="center" vertical="top"/>
    </xf>
    <xf numFmtId="165" fontId="27" fillId="45" borderId="28" xfId="0" applyNumberFormat="1" applyFont="1" applyFill="1" applyBorder="1" applyAlignment="1">
      <alignment horizontal="right" wrapText="1"/>
    </xf>
    <xf numFmtId="165" fontId="27" fillId="0" borderId="28" xfId="0" applyNumberFormat="1" applyFont="1" applyBorder="1" applyAlignment="1">
      <alignment horizontal="right" wrapText="1"/>
    </xf>
    <xf numFmtId="0" fontId="34" fillId="0" borderId="0" xfId="0" applyFont="1" applyAlignment="1">
      <alignment horizontal="left" wrapText="1"/>
    </xf>
    <xf numFmtId="40" fontId="27" fillId="50" borderId="28" xfId="0" applyNumberFormat="1" applyFont="1" applyFill="1" applyBorder="1" applyAlignment="1">
      <alignment horizontal="right" wrapText="1"/>
    </xf>
    <xf numFmtId="40" fontId="27" fillId="45" borderId="28" xfId="0" applyNumberFormat="1" applyFont="1" applyFill="1" applyBorder="1" applyAlignment="1">
      <alignment horizontal="right" wrapText="1"/>
    </xf>
    <xf numFmtId="3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/>
    </xf>
    <xf numFmtId="0" fontId="35" fillId="37" borderId="13" xfId="0" applyFont="1" applyFill="1" applyBorder="1" applyAlignment="1">
      <alignment horizontal="center"/>
    </xf>
    <xf numFmtId="0" fontId="36" fillId="37" borderId="13" xfId="0" applyFont="1" applyFill="1" applyBorder="1"/>
    <xf numFmtId="2" fontId="36" fillId="0" borderId="13" xfId="0" applyNumberFormat="1" applyFont="1" applyBorder="1" applyAlignment="1">
      <alignment horizontal="center"/>
    </xf>
    <xf numFmtId="2" fontId="3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35" xfId="0" applyBorder="1"/>
    <xf numFmtId="0" fontId="16" fillId="0" borderId="0" xfId="0" applyFont="1" applyAlignment="1">
      <alignment horizontal="center"/>
    </xf>
    <xf numFmtId="10" fontId="36" fillId="0" borderId="13" xfId="1" applyNumberFormat="1" applyFont="1" applyBorder="1" applyAlignment="1">
      <alignment horizontal="center"/>
    </xf>
    <xf numFmtId="0" fontId="27" fillId="0" borderId="0" xfId="0" applyFont="1" applyAlignment="1">
      <alignment horizontal="left" wrapText="1"/>
    </xf>
    <xf numFmtId="0" fontId="28" fillId="0" borderId="37" xfId="0" applyFont="1" applyBorder="1" applyAlignment="1">
      <alignment horizontal="left"/>
    </xf>
    <xf numFmtId="38" fontId="28" fillId="0" borderId="38" xfId="0" applyNumberFormat="1" applyFont="1" applyBorder="1" applyAlignment="1">
      <alignment horizontal="right" wrapText="1"/>
    </xf>
    <xf numFmtId="38" fontId="28" fillId="0" borderId="39" xfId="0" applyNumberFormat="1" applyFont="1" applyBorder="1" applyAlignment="1">
      <alignment horizontal="right" wrapText="1"/>
    </xf>
    <xf numFmtId="0" fontId="28" fillId="0" borderId="40" xfId="0" applyFont="1" applyBorder="1" applyAlignment="1">
      <alignment horizontal="left"/>
    </xf>
    <xf numFmtId="38" fontId="28" fillId="0" borderId="11" xfId="0" applyNumberFormat="1" applyFont="1" applyBorder="1" applyAlignment="1">
      <alignment horizontal="right" wrapText="1"/>
    </xf>
    <xf numFmtId="38" fontId="28" fillId="0" borderId="23" xfId="0" applyNumberFormat="1" applyFont="1" applyBorder="1" applyAlignment="1">
      <alignment horizontal="right" wrapText="1"/>
    </xf>
    <xf numFmtId="0" fontId="27" fillId="51" borderId="32" xfId="0" applyFont="1" applyFill="1" applyBorder="1" applyAlignment="1">
      <alignment horizontal="left" indent="2"/>
    </xf>
    <xf numFmtId="0" fontId="28" fillId="50" borderId="40" xfId="0" applyFont="1" applyFill="1" applyBorder="1" applyAlignment="1">
      <alignment horizontal="left"/>
    </xf>
    <xf numFmtId="38" fontId="28" fillId="50" borderId="11" xfId="0" applyNumberFormat="1" applyFont="1" applyFill="1" applyBorder="1" applyAlignment="1">
      <alignment horizontal="right" wrapText="1"/>
    </xf>
    <xf numFmtId="38" fontId="28" fillId="50" borderId="23" xfId="0" applyNumberFormat="1" applyFont="1" applyFill="1" applyBorder="1" applyAlignment="1">
      <alignment horizontal="right" wrapText="1"/>
    </xf>
    <xf numFmtId="0" fontId="27" fillId="50" borderId="32" xfId="0" applyFont="1" applyFill="1" applyBorder="1" applyAlignment="1">
      <alignment horizontal="left"/>
    </xf>
    <xf numFmtId="38" fontId="27" fillId="50" borderId="0" xfId="0" applyNumberFormat="1" applyFont="1" applyFill="1" applyAlignment="1">
      <alignment horizontal="right" wrapText="1"/>
    </xf>
    <xf numFmtId="0" fontId="27" fillId="0" borderId="32" xfId="0" applyFont="1" applyBorder="1" applyAlignment="1">
      <alignment horizontal="left"/>
    </xf>
    <xf numFmtId="38" fontId="27" fillId="0" borderId="0" xfId="0" applyNumberFormat="1" applyFont="1" applyAlignment="1">
      <alignment horizontal="right" wrapText="1"/>
    </xf>
    <xf numFmtId="165" fontId="28" fillId="0" borderId="38" xfId="0" applyNumberFormat="1" applyFont="1" applyBorder="1" applyAlignment="1">
      <alignment horizontal="right" wrapText="1"/>
    </xf>
    <xf numFmtId="165" fontId="28" fillId="0" borderId="39" xfId="0" applyNumberFormat="1" applyFont="1" applyBorder="1" applyAlignment="1">
      <alignment horizontal="right" wrapText="1"/>
    </xf>
    <xf numFmtId="165" fontId="27" fillId="50" borderId="0" xfId="0" applyNumberFormat="1" applyFont="1" applyFill="1" applyAlignment="1">
      <alignment horizontal="right" wrapText="1"/>
    </xf>
    <xf numFmtId="165" fontId="28" fillId="0" borderId="11" xfId="0" applyNumberFormat="1" applyFont="1" applyBorder="1" applyAlignment="1">
      <alignment horizontal="right" wrapText="1"/>
    </xf>
    <xf numFmtId="165" fontId="28" fillId="0" borderId="23" xfId="0" applyNumberFormat="1" applyFont="1" applyBorder="1" applyAlignment="1">
      <alignment horizontal="right" wrapText="1"/>
    </xf>
    <xf numFmtId="165" fontId="27" fillId="45" borderId="0" xfId="0" applyNumberFormat="1" applyFont="1" applyFill="1" applyAlignment="1">
      <alignment horizontal="right" wrapText="1"/>
    </xf>
    <xf numFmtId="165" fontId="28" fillId="50" borderId="11" xfId="0" applyNumberFormat="1" applyFont="1" applyFill="1" applyBorder="1" applyAlignment="1">
      <alignment horizontal="right" wrapText="1"/>
    </xf>
    <xf numFmtId="165" fontId="28" fillId="50" borderId="23" xfId="0" applyNumberFormat="1" applyFont="1" applyFill="1" applyBorder="1" applyAlignment="1">
      <alignment horizontal="right" wrapText="1"/>
    </xf>
    <xf numFmtId="0" fontId="28" fillId="51" borderId="40" xfId="0" applyFont="1" applyFill="1" applyBorder="1" applyAlignment="1">
      <alignment horizontal="left" indent="2"/>
    </xf>
    <xf numFmtId="165" fontId="28" fillId="45" borderId="11" xfId="0" applyNumberFormat="1" applyFont="1" applyFill="1" applyBorder="1" applyAlignment="1">
      <alignment horizontal="right" wrapText="1"/>
    </xf>
    <xf numFmtId="165" fontId="28" fillId="45" borderId="23" xfId="0" applyNumberFormat="1" applyFont="1" applyFill="1" applyBorder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38" fontId="28" fillId="50" borderId="38" xfId="0" applyNumberFormat="1" applyFont="1" applyFill="1" applyBorder="1" applyAlignment="1">
      <alignment horizontal="right" wrapText="1"/>
    </xf>
    <xf numFmtId="38" fontId="28" fillId="50" borderId="39" xfId="0" applyNumberFormat="1" applyFont="1" applyFill="1" applyBorder="1" applyAlignment="1">
      <alignment horizontal="right" wrapText="1"/>
    </xf>
    <xf numFmtId="0" fontId="28" fillId="50" borderId="37" xfId="0" applyFont="1" applyFill="1" applyBorder="1" applyAlignment="1">
      <alignment horizontal="left"/>
    </xf>
    <xf numFmtId="165" fontId="28" fillId="50" borderId="38" xfId="0" applyNumberFormat="1" applyFont="1" applyFill="1" applyBorder="1" applyAlignment="1">
      <alignment horizontal="right" wrapText="1"/>
    </xf>
    <xf numFmtId="165" fontId="28" fillId="50" borderId="39" xfId="0" applyNumberFormat="1" applyFont="1" applyFill="1" applyBorder="1" applyAlignment="1">
      <alignment horizontal="right" wrapText="1"/>
    </xf>
    <xf numFmtId="0" fontId="28" fillId="0" borderId="43" xfId="0" applyFont="1" applyBorder="1" applyAlignment="1">
      <alignment horizontal="left"/>
    </xf>
    <xf numFmtId="165" fontId="28" fillId="0" borderId="44" xfId="0" applyNumberFormat="1" applyFont="1" applyBorder="1" applyAlignment="1">
      <alignment horizontal="right" wrapText="1"/>
    </xf>
    <xf numFmtId="165" fontId="28" fillId="0" borderId="45" xfId="0" applyNumberFormat="1" applyFont="1" applyBorder="1" applyAlignment="1">
      <alignment horizontal="right" wrapText="1"/>
    </xf>
    <xf numFmtId="40" fontId="27" fillId="50" borderId="0" xfId="0" applyNumberFormat="1" applyFont="1" applyFill="1" applyAlignment="1">
      <alignment horizontal="right" wrapText="1"/>
    </xf>
    <xf numFmtId="40" fontId="28" fillId="0" borderId="38" xfId="0" applyNumberFormat="1" applyFont="1" applyBorder="1" applyAlignment="1">
      <alignment horizontal="right" wrapText="1"/>
    </xf>
    <xf numFmtId="40" fontId="28" fillId="0" borderId="39" xfId="0" applyNumberFormat="1" applyFont="1" applyBorder="1" applyAlignment="1">
      <alignment horizontal="right" wrapText="1"/>
    </xf>
    <xf numFmtId="40" fontId="27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left" vertical="center"/>
    </xf>
    <xf numFmtId="167" fontId="39" fillId="0" borderId="0" xfId="0" applyNumberFormat="1" applyFont="1" applyAlignment="1">
      <alignment vertical="center"/>
    </xf>
    <xf numFmtId="0" fontId="0" fillId="0" borderId="36" xfId="0" applyBorder="1"/>
    <xf numFmtId="167" fontId="0" fillId="0" borderId="0" xfId="0" applyNumberFormat="1"/>
    <xf numFmtId="0" fontId="40" fillId="0" borderId="41" xfId="0" applyFont="1" applyBorder="1" applyAlignment="1">
      <alignment vertical="center"/>
    </xf>
    <xf numFmtId="0" fontId="40" fillId="0" borderId="47" xfId="0" applyFont="1" applyBorder="1" applyAlignment="1">
      <alignment vertical="center"/>
    </xf>
    <xf numFmtId="167" fontId="40" fillId="0" borderId="46" xfId="0" applyNumberFormat="1" applyFont="1" applyBorder="1" applyAlignment="1">
      <alignment vertical="center"/>
    </xf>
    <xf numFmtId="0" fontId="16" fillId="0" borderId="46" xfId="0" applyFont="1" applyBorder="1"/>
    <xf numFmtId="0" fontId="40" fillId="0" borderId="0" xfId="0" applyFont="1" applyAlignment="1">
      <alignment horizontal="left" vertical="center"/>
    </xf>
    <xf numFmtId="0" fontId="40" fillId="0" borderId="41" xfId="0" applyFont="1" applyBorder="1" applyAlignment="1">
      <alignment horizontal="left" vertical="center"/>
    </xf>
    <xf numFmtId="9" fontId="0" fillId="0" borderId="0" xfId="1" applyFont="1" applyFill="1" applyBorder="1"/>
    <xf numFmtId="9" fontId="16" fillId="0" borderId="46" xfId="1" applyFont="1" applyBorder="1"/>
    <xf numFmtId="9" fontId="16" fillId="0" borderId="38" xfId="1" applyFont="1" applyBorder="1"/>
    <xf numFmtId="3" fontId="16" fillId="0" borderId="38" xfId="0" applyNumberFormat="1" applyFont="1" applyBorder="1"/>
    <xf numFmtId="8" fontId="16" fillId="0" borderId="0" xfId="0" applyNumberFormat="1" applyFont="1"/>
    <xf numFmtId="4" fontId="16" fillId="0" borderId="0" xfId="0" applyNumberFormat="1" applyFont="1"/>
    <xf numFmtId="0" fontId="16" fillId="0" borderId="41" xfId="0" applyFont="1" applyBorder="1"/>
    <xf numFmtId="167" fontId="39" fillId="0" borderId="0" xfId="0" applyNumberFormat="1" applyFont="1" applyAlignment="1">
      <alignment horizontal="center" vertical="center"/>
    </xf>
    <xf numFmtId="167" fontId="40" fillId="0" borderId="38" xfId="0" applyNumberFormat="1" applyFont="1" applyBorder="1" applyAlignment="1">
      <alignment vertical="center"/>
    </xf>
    <xf numFmtId="167" fontId="40" fillId="0" borderId="49" xfId="0" applyNumberFormat="1" applyFont="1" applyBorder="1" applyAlignment="1">
      <alignment vertical="center"/>
    </xf>
    <xf numFmtId="0" fontId="16" fillId="0" borderId="48" xfId="0" applyFont="1" applyBorder="1"/>
    <xf numFmtId="9" fontId="0" fillId="0" borderId="48" xfId="1" applyFont="1" applyBorder="1"/>
    <xf numFmtId="3" fontId="16" fillId="0" borderId="0" xfId="0" applyNumberFormat="1" applyFont="1"/>
    <xf numFmtId="3" fontId="16" fillId="0" borderId="10" xfId="0" applyNumberFormat="1" applyFont="1" applyBorder="1"/>
    <xf numFmtId="3" fontId="16" fillId="0" borderId="11" xfId="0" applyNumberFormat="1" applyFont="1" applyBorder="1"/>
    <xf numFmtId="9" fontId="0" fillId="0" borderId="0" xfId="1" applyFont="1" applyBorder="1"/>
    <xf numFmtId="9" fontId="16" fillId="0" borderId="0" xfId="1" applyFont="1"/>
    <xf numFmtId="9" fontId="16" fillId="0" borderId="0" xfId="1" applyFont="1" applyBorder="1"/>
    <xf numFmtId="9" fontId="16" fillId="0" borderId="10" xfId="1" applyFont="1" applyBorder="1"/>
    <xf numFmtId="0" fontId="41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167" fontId="42" fillId="0" borderId="0" xfId="0" applyNumberFormat="1" applyFont="1" applyAlignment="1">
      <alignment vertical="center"/>
    </xf>
    <xf numFmtId="167" fontId="42" fillId="0" borderId="0" xfId="0" applyNumberFormat="1" applyFont="1" applyAlignment="1">
      <alignment horizontal="center" vertical="center"/>
    </xf>
    <xf numFmtId="0" fontId="1" fillId="0" borderId="0" xfId="0" applyFont="1"/>
    <xf numFmtId="0" fontId="43" fillId="0" borderId="10" xfId="0" applyFont="1" applyBorder="1"/>
    <xf numFmtId="0" fontId="43" fillId="0" borderId="11" xfId="0" applyFont="1" applyBorder="1"/>
    <xf numFmtId="0" fontId="43" fillId="0" borderId="41" xfId="0" applyFont="1" applyBorder="1"/>
    <xf numFmtId="0" fontId="43" fillId="0" borderId="0" xfId="0" applyFont="1"/>
    <xf numFmtId="0" fontId="43" fillId="0" borderId="46" xfId="0" applyFont="1" applyBorder="1"/>
    <xf numFmtId="0" fontId="43" fillId="0" borderId="38" xfId="0" applyFont="1" applyBorder="1"/>
    <xf numFmtId="0" fontId="43" fillId="0" borderId="49" xfId="0" applyFont="1" applyBorder="1"/>
    <xf numFmtId="0" fontId="43" fillId="0" borderId="48" xfId="0" applyFont="1" applyBorder="1"/>
    <xf numFmtId="167" fontId="44" fillId="0" borderId="46" xfId="0" applyNumberFormat="1" applyFont="1" applyBorder="1" applyAlignment="1">
      <alignment vertical="center"/>
    </xf>
    <xf numFmtId="167" fontId="43" fillId="0" borderId="38" xfId="0" applyNumberFormat="1" applyFont="1" applyBorder="1"/>
    <xf numFmtId="167" fontId="43" fillId="0" borderId="46" xfId="0" applyNumberFormat="1" applyFont="1" applyBorder="1"/>
    <xf numFmtId="0" fontId="44" fillId="0" borderId="47" xfId="0" applyFont="1" applyBorder="1" applyAlignment="1">
      <alignment vertical="center"/>
    </xf>
    <xf numFmtId="167" fontId="44" fillId="0" borderId="38" xfId="0" applyNumberFormat="1" applyFont="1" applyBorder="1" applyAlignment="1">
      <alignment vertical="center"/>
    </xf>
    <xf numFmtId="3" fontId="43" fillId="0" borderId="38" xfId="0" applyNumberFormat="1" applyFont="1" applyBorder="1"/>
    <xf numFmtId="9" fontId="1" fillId="0" borderId="38" xfId="1" applyFont="1" applyBorder="1"/>
    <xf numFmtId="9" fontId="43" fillId="0" borderId="38" xfId="1" applyFont="1" applyBorder="1"/>
    <xf numFmtId="3" fontId="43" fillId="0" borderId="39" xfId="0" applyNumberFormat="1" applyFont="1" applyBorder="1"/>
    <xf numFmtId="3" fontId="43" fillId="0" borderId="10" xfId="0" applyNumberFormat="1" applyFont="1" applyBorder="1"/>
    <xf numFmtId="9" fontId="43" fillId="0" borderId="10" xfId="1" applyFont="1" applyBorder="1"/>
    <xf numFmtId="167" fontId="44" fillId="0" borderId="0" xfId="0" applyNumberFormat="1" applyFont="1" applyAlignment="1">
      <alignment vertical="center"/>
    </xf>
    <xf numFmtId="0" fontId="40" fillId="0" borderId="10" xfId="0" applyFont="1" applyBorder="1" applyAlignment="1">
      <alignment horizontal="left" vertical="center"/>
    </xf>
    <xf numFmtId="167" fontId="44" fillId="0" borderId="10" xfId="0" applyNumberFormat="1" applyFont="1" applyBorder="1" applyAlignment="1">
      <alignment vertical="center"/>
    </xf>
    <xf numFmtId="0" fontId="16" fillId="0" borderId="35" xfId="0" applyFont="1" applyBorder="1"/>
    <xf numFmtId="9" fontId="43" fillId="0" borderId="46" xfId="1" applyFont="1" applyBorder="1"/>
    <xf numFmtId="9" fontId="16" fillId="0" borderId="11" xfId="1" applyFont="1" applyBorder="1"/>
    <xf numFmtId="2" fontId="0" fillId="42" borderId="0" xfId="0" applyNumberFormat="1" applyFill="1"/>
    <xf numFmtId="2" fontId="0" fillId="42" borderId="10" xfId="0" applyNumberFormat="1" applyFill="1" applyBorder="1"/>
    <xf numFmtId="2" fontId="0" fillId="43" borderId="0" xfId="0" applyNumberFormat="1" applyFill="1"/>
    <xf numFmtId="2" fontId="0" fillId="43" borderId="10" xfId="0" applyNumberFormat="1" applyFill="1" applyBorder="1"/>
    <xf numFmtId="10" fontId="0" fillId="42" borderId="0" xfId="1" applyNumberFormat="1" applyFont="1" applyFill="1"/>
    <xf numFmtId="10" fontId="0" fillId="42" borderId="10" xfId="1" applyNumberFormat="1" applyFont="1" applyFill="1" applyBorder="1"/>
    <xf numFmtId="2" fontId="0" fillId="42" borderId="12" xfId="0" applyNumberFormat="1" applyFill="1" applyBorder="1"/>
    <xf numFmtId="0" fontId="0" fillId="42" borderId="0" xfId="0" applyFill="1"/>
    <xf numFmtId="2" fontId="0" fillId="42" borderId="0" xfId="1" applyNumberFormat="1" applyFont="1" applyFill="1"/>
    <xf numFmtId="0" fontId="0" fillId="43" borderId="0" xfId="0" applyFill="1"/>
    <xf numFmtId="2" fontId="0" fillId="43" borderId="0" xfId="1" applyNumberFormat="1" applyFont="1" applyFill="1"/>
    <xf numFmtId="10" fontId="0" fillId="43" borderId="0" xfId="1" applyNumberFormat="1" applyFont="1" applyFill="1"/>
    <xf numFmtId="2" fontId="0" fillId="43" borderId="12" xfId="0" applyNumberFormat="1" applyFill="1" applyBorder="1"/>
    <xf numFmtId="10" fontId="0" fillId="43" borderId="10" xfId="1" applyNumberFormat="1" applyFont="1" applyFill="1" applyBorder="1"/>
    <xf numFmtId="0" fontId="0" fillId="0" borderId="0" xfId="0" applyAlignment="1">
      <alignment horizontal="left"/>
    </xf>
    <xf numFmtId="0" fontId="45" fillId="0" borderId="0" xfId="0" applyFont="1" applyAlignment="1">
      <alignment horizontal="left" vertical="center"/>
    </xf>
    <xf numFmtId="14" fontId="0" fillId="0" borderId="0" xfId="0" applyNumberFormat="1"/>
    <xf numFmtId="14" fontId="25" fillId="0" borderId="0" xfId="0" applyNumberFormat="1" applyFont="1"/>
    <xf numFmtId="14" fontId="0" fillId="0" borderId="0" xfId="0" applyNumberFormat="1" applyAlignment="1">
      <alignment horizontal="left"/>
    </xf>
    <xf numFmtId="0" fontId="16" fillId="0" borderId="44" xfId="0" applyFont="1" applyBorder="1"/>
    <xf numFmtId="0" fontId="43" fillId="0" borderId="50" xfId="0" applyFont="1" applyBorder="1"/>
    <xf numFmtId="167" fontId="40" fillId="0" borderId="44" xfId="0" applyNumberFormat="1" applyFont="1" applyBorder="1" applyAlignment="1">
      <alignment vertical="center"/>
    </xf>
    <xf numFmtId="0" fontId="40" fillId="0" borderId="44" xfId="0" applyFont="1" applyBorder="1" applyAlignment="1">
      <alignment horizontal="left" vertical="center"/>
    </xf>
    <xf numFmtId="0" fontId="16" fillId="0" borderId="52" xfId="0" applyFont="1" applyBorder="1"/>
    <xf numFmtId="2" fontId="16" fillId="0" borderId="44" xfId="0" applyNumberFormat="1" applyFont="1" applyBorder="1"/>
    <xf numFmtId="2" fontId="16" fillId="0" borderId="45" xfId="0" applyNumberFormat="1" applyFont="1" applyBorder="1"/>
    <xf numFmtId="0" fontId="16" fillId="33" borderId="35" xfId="0" applyFont="1" applyFill="1" applyBorder="1"/>
    <xf numFmtId="0" fontId="0" fillId="0" borderId="53" xfId="0" applyBorder="1"/>
    <xf numFmtId="0" fontId="0" fillId="0" borderId="12" xfId="0" applyBorder="1"/>
    <xf numFmtId="0" fontId="16" fillId="33" borderId="36" xfId="0" applyFont="1" applyFill="1" applyBorder="1"/>
    <xf numFmtId="0" fontId="16" fillId="0" borderId="36" xfId="0" applyFont="1" applyBorder="1"/>
    <xf numFmtId="0" fontId="27" fillId="0" borderId="40" xfId="0" applyFont="1" applyBorder="1" applyAlignment="1">
      <alignment horizontal="left"/>
    </xf>
    <xf numFmtId="38" fontId="27" fillId="0" borderId="11" xfId="0" applyNumberFormat="1" applyFont="1" applyBorder="1" applyAlignment="1">
      <alignment horizontal="right" wrapText="1"/>
    </xf>
    <xf numFmtId="38" fontId="27" fillId="0" borderId="23" xfId="0" applyNumberFormat="1" applyFont="1" applyBorder="1" applyAlignment="1">
      <alignment horizontal="right" wrapText="1"/>
    </xf>
    <xf numFmtId="0" fontId="0" fillId="0" borderId="44" xfId="0" applyBorder="1"/>
    <xf numFmtId="0" fontId="16" fillId="0" borderId="50" xfId="0" applyFont="1" applyBorder="1"/>
    <xf numFmtId="0" fontId="16" fillId="0" borderId="49" xfId="0" applyFont="1" applyBorder="1"/>
    <xf numFmtId="0" fontId="16" fillId="0" borderId="51" xfId="0" applyFont="1" applyBorder="1"/>
    <xf numFmtId="0" fontId="16" fillId="0" borderId="57" xfId="0" applyFont="1" applyBorder="1"/>
    <xf numFmtId="0" fontId="0" fillId="0" borderId="54" xfId="0" applyBorder="1"/>
    <xf numFmtId="2" fontId="0" fillId="0" borderId="10" xfId="0" applyNumberFormat="1" applyBorder="1"/>
    <xf numFmtId="2" fontId="0" fillId="0" borderId="56" xfId="0" applyNumberFormat="1" applyBorder="1"/>
    <xf numFmtId="0" fontId="0" fillId="42" borderId="50" xfId="0" applyFill="1" applyBorder="1"/>
    <xf numFmtId="0" fontId="0" fillId="0" borderId="49" xfId="0" applyBorder="1"/>
    <xf numFmtId="0" fontId="0" fillId="43" borderId="49" xfId="0" applyFill="1" applyBorder="1"/>
    <xf numFmtId="0" fontId="16" fillId="33" borderId="57" xfId="0" applyFont="1" applyFill="1" applyBorder="1"/>
    <xf numFmtId="0" fontId="16" fillId="33" borderId="58" xfId="0" applyFont="1" applyFill="1" applyBorder="1"/>
    <xf numFmtId="9" fontId="0" fillId="0" borderId="46" xfId="1" applyFont="1" applyBorder="1"/>
    <xf numFmtId="9" fontId="0" fillId="0" borderId="41" xfId="1" applyFont="1" applyBorder="1"/>
    <xf numFmtId="9" fontId="0" fillId="0" borderId="38" xfId="1" applyFont="1" applyBorder="1"/>
    <xf numFmtId="9" fontId="0" fillId="0" borderId="39" xfId="1" applyFont="1" applyBorder="1"/>
    <xf numFmtId="9" fontId="0" fillId="0" borderId="44" xfId="1" applyFont="1" applyBorder="1"/>
    <xf numFmtId="9" fontId="0" fillId="0" borderId="10" xfId="1" applyFont="1" applyBorder="1"/>
    <xf numFmtId="9" fontId="2" fillId="0" borderId="0" xfId="1" applyFont="1"/>
    <xf numFmtId="9" fontId="0" fillId="0" borderId="11" xfId="1" applyFont="1" applyBorder="1"/>
    <xf numFmtId="0" fontId="16" fillId="0" borderId="38" xfId="0" applyFont="1" applyBorder="1"/>
    <xf numFmtId="0" fontId="16" fillId="0" borderId="39" xfId="0" applyFont="1" applyBorder="1"/>
    <xf numFmtId="0" fontId="16" fillId="0" borderId="10" xfId="0" applyFont="1" applyBorder="1"/>
    <xf numFmtId="38" fontId="16" fillId="0" borderId="10" xfId="0" applyNumberFormat="1" applyFont="1" applyBorder="1"/>
    <xf numFmtId="0" fontId="28" fillId="50" borderId="59" xfId="0" applyFont="1" applyFill="1" applyBorder="1" applyAlignment="1">
      <alignment horizontal="left"/>
    </xf>
    <xf numFmtId="165" fontId="28" fillId="50" borderId="16" xfId="0" applyNumberFormat="1" applyFont="1" applyFill="1" applyBorder="1" applyAlignment="1">
      <alignment horizontal="right" wrapText="1"/>
    </xf>
    <xf numFmtId="165" fontId="28" fillId="50" borderId="15" xfId="0" applyNumberFormat="1" applyFont="1" applyFill="1" applyBorder="1" applyAlignment="1">
      <alignment horizontal="right" wrapText="1"/>
    </xf>
    <xf numFmtId="38" fontId="16" fillId="0" borderId="38" xfId="0" applyNumberFormat="1" applyFont="1" applyBorder="1"/>
    <xf numFmtId="0" fontId="41" fillId="0" borderId="50" xfId="0" applyFont="1" applyBorder="1"/>
    <xf numFmtId="0" fontId="16" fillId="0" borderId="11" xfId="0" applyFont="1" applyBorder="1"/>
    <xf numFmtId="0" fontId="0" fillId="42" borderId="54" xfId="0" applyFill="1" applyBorder="1"/>
    <xf numFmtId="0" fontId="0" fillId="43" borderId="12" xfId="0" applyFill="1" applyBorder="1"/>
    <xf numFmtId="38" fontId="0" fillId="0" borderId="36" xfId="0" applyNumberFormat="1" applyBorder="1"/>
    <xf numFmtId="3" fontId="0" fillId="0" borderId="36" xfId="0" applyNumberFormat="1" applyBorder="1"/>
    <xf numFmtId="0" fontId="16" fillId="0" borderId="35" xfId="0" applyFont="1" applyBorder="1" applyAlignment="1">
      <alignment vertical="top"/>
    </xf>
    <xf numFmtId="9" fontId="16" fillId="42" borderId="0" xfId="0" applyNumberFormat="1" applyFont="1" applyFill="1"/>
    <xf numFmtId="9" fontId="0" fillId="0" borderId="0" xfId="0" applyNumberFormat="1"/>
    <xf numFmtId="9" fontId="16" fillId="43" borderId="0" xfId="0" applyNumberFormat="1" applyFont="1" applyFill="1"/>
    <xf numFmtId="9" fontId="0" fillId="0" borderId="36" xfId="0" applyNumberFormat="1" applyBorder="1"/>
    <xf numFmtId="0" fontId="16" fillId="0" borderId="53" xfId="0" applyFont="1" applyBorder="1"/>
    <xf numFmtId="9" fontId="16" fillId="42" borderId="10" xfId="0" applyNumberFormat="1" applyFont="1" applyFill="1" applyBorder="1"/>
    <xf numFmtId="9" fontId="0" fillId="0" borderId="10" xfId="0" applyNumberFormat="1" applyBorder="1"/>
    <xf numFmtId="9" fontId="16" fillId="43" borderId="10" xfId="0" applyNumberFormat="1" applyFont="1" applyFill="1" applyBorder="1"/>
    <xf numFmtId="9" fontId="0" fillId="0" borderId="56" xfId="0" applyNumberFormat="1" applyBorder="1"/>
    <xf numFmtId="9" fontId="0" fillId="0" borderId="58" xfId="1" applyFont="1" applyBorder="1"/>
    <xf numFmtId="2" fontId="16" fillId="0" borderId="44" xfId="1" applyNumberFormat="1" applyFont="1" applyBorder="1"/>
    <xf numFmtId="2" fontId="16" fillId="0" borderId="45" xfId="1" applyNumberFormat="1" applyFont="1" applyBorder="1"/>
    <xf numFmtId="0" fontId="19" fillId="43" borderId="0" xfId="0" applyFont="1" applyFill="1"/>
    <xf numFmtId="0" fontId="19" fillId="42" borderId="0" xfId="0" applyFont="1" applyFill="1"/>
    <xf numFmtId="0" fontId="46" fillId="0" borderId="0" xfId="0" applyFont="1" applyAlignment="1">
      <alignment horizontal="center"/>
    </xf>
    <xf numFmtId="0" fontId="46" fillId="0" borderId="0" xfId="0" applyFont="1"/>
    <xf numFmtId="0" fontId="40" fillId="0" borderId="38" xfId="0" applyFont="1" applyBorder="1" applyAlignment="1">
      <alignment horizontal="left" vertical="center"/>
    </xf>
    <xf numFmtId="0" fontId="19" fillId="43" borderId="36" xfId="0" applyFont="1" applyFill="1" applyBorder="1"/>
    <xf numFmtId="0" fontId="16" fillId="0" borderId="35" xfId="0" applyFont="1" applyBorder="1" applyAlignment="1">
      <alignment horizontal="center"/>
    </xf>
    <xf numFmtId="0" fontId="16" fillId="0" borderId="53" xfId="0" applyFont="1" applyBorder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36" xfId="0" applyNumberFormat="1" applyFont="1" applyBorder="1" applyAlignment="1">
      <alignment horizontal="center"/>
    </xf>
    <xf numFmtId="2" fontId="16" fillId="0" borderId="10" xfId="0" applyNumberFormat="1" applyFont="1" applyBorder="1" applyAlignment="1">
      <alignment horizontal="center"/>
    </xf>
    <xf numFmtId="2" fontId="16" fillId="0" borderId="56" xfId="0" applyNumberFormat="1" applyFont="1" applyBorder="1" applyAlignment="1">
      <alignment horizontal="center"/>
    </xf>
    <xf numFmtId="9" fontId="16" fillId="42" borderId="44" xfId="1" applyFont="1" applyFill="1" applyBorder="1"/>
    <xf numFmtId="9" fontId="16" fillId="43" borderId="44" xfId="1" applyFont="1" applyFill="1" applyBorder="1"/>
    <xf numFmtId="9" fontId="16" fillId="43" borderId="45" xfId="1" applyFont="1" applyFill="1" applyBorder="1"/>
    <xf numFmtId="0" fontId="43" fillId="0" borderId="52" xfId="0" applyFont="1" applyBorder="1"/>
    <xf numFmtId="2" fontId="43" fillId="0" borderId="44" xfId="0" applyNumberFormat="1" applyFont="1" applyBorder="1"/>
    <xf numFmtId="2" fontId="43" fillId="0" borderId="45" xfId="0" applyNumberFormat="1" applyFont="1" applyBorder="1"/>
    <xf numFmtId="167" fontId="0" fillId="0" borderId="36" xfId="0" applyNumberFormat="1" applyBorder="1"/>
    <xf numFmtId="9" fontId="16" fillId="42" borderId="10" xfId="1" applyFont="1" applyFill="1" applyBorder="1"/>
    <xf numFmtId="9" fontId="16" fillId="43" borderId="10" xfId="1" applyFont="1" applyFill="1" applyBorder="1"/>
    <xf numFmtId="3" fontId="16" fillId="0" borderId="39" xfId="0" applyNumberFormat="1" applyFont="1" applyBorder="1"/>
    <xf numFmtId="3" fontId="16" fillId="0" borderId="48" xfId="0" applyNumberFormat="1" applyFont="1" applyBorder="1"/>
    <xf numFmtId="0" fontId="16" fillId="0" borderId="21" xfId="0" applyFont="1" applyBorder="1"/>
    <xf numFmtId="3" fontId="16" fillId="0" borderId="23" xfId="0" applyNumberFormat="1" applyFont="1" applyBorder="1"/>
    <xf numFmtId="3" fontId="0" fillId="0" borderId="12" xfId="0" applyNumberFormat="1" applyBorder="1"/>
    <xf numFmtId="3" fontId="0" fillId="0" borderId="55" xfId="0" applyNumberFormat="1" applyBorder="1"/>
    <xf numFmtId="3" fontId="0" fillId="0" borderId="56" xfId="0" applyNumberFormat="1" applyBorder="1"/>
    <xf numFmtId="2" fontId="36" fillId="0" borderId="13" xfId="1" applyNumberFormat="1" applyFont="1" applyBorder="1" applyAlignment="1">
      <alignment horizontal="center"/>
    </xf>
    <xf numFmtId="2" fontId="36" fillId="37" borderId="13" xfId="0" applyNumberFormat="1" applyFont="1" applyFill="1" applyBorder="1"/>
    <xf numFmtId="0" fontId="36" fillId="0" borderId="13" xfId="0" applyFont="1" applyBorder="1" applyAlignment="1">
      <alignment horizontal="center"/>
    </xf>
    <xf numFmtId="10" fontId="36" fillId="37" borderId="13" xfId="1" applyNumberFormat="1" applyFont="1" applyFill="1" applyBorder="1"/>
    <xf numFmtId="0" fontId="47" fillId="0" borderId="0" xfId="0" applyFont="1"/>
    <xf numFmtId="9" fontId="48" fillId="0" borderId="0" xfId="1" applyFont="1"/>
    <xf numFmtId="2" fontId="40" fillId="0" borderId="38" xfId="0" applyNumberFormat="1" applyFont="1" applyBorder="1" applyAlignment="1">
      <alignment horizontal="center" vertical="center"/>
    </xf>
    <xf numFmtId="168" fontId="43" fillId="0" borderId="38" xfId="0" applyNumberFormat="1" applyFont="1" applyBorder="1" applyAlignment="1">
      <alignment horizontal="center" vertical="center"/>
    </xf>
    <xf numFmtId="0" fontId="40" fillId="0" borderId="39" xfId="0" applyFont="1" applyBorder="1" applyAlignment="1">
      <alignment horizontal="center" vertical="center"/>
    </xf>
    <xf numFmtId="2" fontId="43" fillId="0" borderId="39" xfId="0" applyNumberFormat="1" applyFont="1" applyBorder="1" applyAlignment="1">
      <alignment horizontal="center" vertical="center"/>
    </xf>
    <xf numFmtId="2" fontId="40" fillId="0" borderId="39" xfId="0" applyNumberFormat="1" applyFont="1" applyBorder="1" applyAlignment="1">
      <alignment horizontal="center" vertical="center"/>
    </xf>
    <xf numFmtId="0" fontId="37" fillId="42" borderId="62" xfId="0" applyFont="1" applyFill="1" applyBorder="1"/>
    <xf numFmtId="0" fontId="37" fillId="43" borderId="63" xfId="0" applyFont="1" applyFill="1" applyBorder="1"/>
    <xf numFmtId="0" fontId="30" fillId="58" borderId="0" xfId="0" applyFont="1" applyFill="1"/>
    <xf numFmtId="0" fontId="30" fillId="0" borderId="0" xfId="0" applyFont="1"/>
    <xf numFmtId="0" fontId="19" fillId="56" borderId="0" xfId="0" applyFont="1" applyFill="1"/>
    <xf numFmtId="0" fontId="19" fillId="57" borderId="0" xfId="0" applyFont="1" applyFill="1"/>
    <xf numFmtId="9" fontId="0" fillId="0" borderId="0" xfId="1" applyFont="1" applyAlignment="1">
      <alignment horizontal="center" vertical="center"/>
    </xf>
    <xf numFmtId="2" fontId="35" fillId="0" borderId="13" xfId="0" applyNumberFormat="1" applyFont="1" applyBorder="1" applyAlignment="1">
      <alignment horizontal="center"/>
    </xf>
    <xf numFmtId="9" fontId="49" fillId="0" borderId="0" xfId="1" applyFont="1" applyAlignment="1">
      <alignment horizontal="center" vertical="center"/>
    </xf>
    <xf numFmtId="0" fontId="35" fillId="37" borderId="0" xfId="0" applyFont="1" applyFill="1" applyAlignment="1">
      <alignment horizontal="center"/>
    </xf>
    <xf numFmtId="0" fontId="36" fillId="0" borderId="33" xfId="0" applyFont="1" applyBorder="1" applyAlignment="1">
      <alignment horizontal="center"/>
    </xf>
    <xf numFmtId="0" fontId="38" fillId="0" borderId="14" xfId="0" applyFont="1" applyBorder="1" applyAlignment="1">
      <alignment horizontal="left"/>
    </xf>
    <xf numFmtId="0" fontId="37" fillId="42" borderId="34" xfId="0" applyFont="1" applyFill="1" applyBorder="1" applyAlignment="1">
      <alignment horizontal="center"/>
    </xf>
    <xf numFmtId="0" fontId="37" fillId="43" borderId="34" xfId="0" applyFont="1" applyFill="1" applyBorder="1" applyAlignment="1">
      <alignment horizontal="center"/>
    </xf>
    <xf numFmtId="2" fontId="38" fillId="0" borderId="14" xfId="0" applyNumberFormat="1" applyFont="1" applyBorder="1" applyAlignment="1">
      <alignment horizontal="left"/>
    </xf>
    <xf numFmtId="0" fontId="38" fillId="0" borderId="16" xfId="0" applyFont="1" applyBorder="1" applyAlignment="1">
      <alignment horizontal="left"/>
    </xf>
    <xf numFmtId="10" fontId="38" fillId="0" borderId="14" xfId="1" applyNumberFormat="1" applyFont="1" applyBorder="1" applyAlignment="1">
      <alignment horizontal="left"/>
    </xf>
    <xf numFmtId="0" fontId="3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35" fillId="37" borderId="10" xfId="0" applyFont="1" applyFill="1" applyBorder="1" applyAlignment="1">
      <alignment horizontal="center"/>
    </xf>
    <xf numFmtId="0" fontId="36" fillId="0" borderId="60" xfId="0" applyFont="1" applyBorder="1" applyAlignment="1">
      <alignment horizontal="center"/>
    </xf>
    <xf numFmtId="0" fontId="36" fillId="0" borderId="64" xfId="0" applyFont="1" applyBorder="1" applyAlignment="1">
      <alignment horizontal="center"/>
    </xf>
    <xf numFmtId="0" fontId="36" fillId="0" borderId="61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0" fontId="19" fillId="42" borderId="0" xfId="0" applyFont="1" applyFill="1" applyAlignment="1">
      <alignment horizontal="center"/>
    </xf>
    <xf numFmtId="0" fontId="19" fillId="43" borderId="0" xfId="0" applyFont="1" applyFill="1" applyAlignment="1">
      <alignment horizontal="center"/>
    </xf>
    <xf numFmtId="0" fontId="16" fillId="0" borderId="0" xfId="0" applyFont="1" applyAlignment="1">
      <alignment horizontal="left"/>
    </xf>
    <xf numFmtId="0" fontId="46" fillId="0" borderId="0" xfId="0" applyFont="1" applyAlignment="1">
      <alignment horizontal="center"/>
    </xf>
    <xf numFmtId="0" fontId="43" fillId="0" borderId="49" xfId="0" applyFont="1" applyBorder="1" applyAlignment="1">
      <alignment horizontal="center"/>
    </xf>
    <xf numFmtId="0" fontId="43" fillId="0" borderId="51" xfId="0" applyFont="1" applyBorder="1" applyAlignment="1">
      <alignment horizontal="center"/>
    </xf>
    <xf numFmtId="0" fontId="19" fillId="42" borderId="12" xfId="0" applyFont="1" applyFill="1" applyBorder="1" applyAlignment="1">
      <alignment horizontal="center"/>
    </xf>
    <xf numFmtId="0" fontId="19" fillId="43" borderId="12" xfId="0" applyFont="1" applyFill="1" applyBorder="1" applyAlignment="1">
      <alignment horizontal="center"/>
    </xf>
    <xf numFmtId="0" fontId="19" fillId="43" borderId="55" xfId="0" applyFont="1" applyFill="1" applyBorder="1" applyAlignment="1">
      <alignment horizontal="center"/>
    </xf>
    <xf numFmtId="0" fontId="16" fillId="0" borderId="58" xfId="0" applyFont="1" applyBorder="1" applyAlignment="1">
      <alignment horizontal="center"/>
    </xf>
    <xf numFmtId="0" fontId="19" fillId="42" borderId="49" xfId="0" applyFont="1" applyFill="1" applyBorder="1" applyAlignment="1">
      <alignment horizontal="center"/>
    </xf>
    <xf numFmtId="0" fontId="19" fillId="43" borderId="49" xfId="0" applyFont="1" applyFill="1" applyBorder="1" applyAlignment="1">
      <alignment horizontal="center"/>
    </xf>
    <xf numFmtId="0" fontId="19" fillId="43" borderId="51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43" fillId="0" borderId="0" xfId="0" applyFont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3" borderId="55" xfId="0" applyFont="1" applyFill="1" applyBorder="1" applyAlignment="1">
      <alignment horizontal="center"/>
    </xf>
    <xf numFmtId="0" fontId="27" fillId="51" borderId="28" xfId="0" applyFont="1" applyFill="1" applyBorder="1" applyAlignment="1">
      <alignment horizontal="left" wrapText="1" indent="2"/>
    </xf>
    <xf numFmtId="0" fontId="27" fillId="49" borderId="31" xfId="0" applyFont="1" applyFill="1" applyBorder="1" applyAlignment="1">
      <alignment horizontal="left" wrapText="1"/>
    </xf>
    <xf numFmtId="0" fontId="27" fillId="50" borderId="30" xfId="0" applyFont="1" applyFill="1" applyBorder="1" applyAlignment="1">
      <alignment horizontal="left" wrapText="1"/>
    </xf>
    <xf numFmtId="0" fontId="27" fillId="51" borderId="30" xfId="0" applyFont="1" applyFill="1" applyBorder="1" applyAlignment="1">
      <alignment horizontal="left" indent="2"/>
    </xf>
    <xf numFmtId="0" fontId="27" fillId="0" borderId="30" xfId="0" applyFont="1" applyBorder="1" applyAlignment="1">
      <alignment horizontal="left"/>
    </xf>
    <xf numFmtId="0" fontId="27" fillId="0" borderId="28" xfId="0" applyFont="1" applyBorder="1" applyAlignment="1">
      <alignment horizontal="left"/>
    </xf>
    <xf numFmtId="0" fontId="27" fillId="50" borderId="30" xfId="0" applyFont="1" applyFill="1" applyBorder="1" applyAlignment="1">
      <alignment horizontal="left"/>
    </xf>
    <xf numFmtId="0" fontId="27" fillId="49" borderId="31" xfId="0" applyFont="1" applyFill="1" applyBorder="1" applyAlignment="1">
      <alignment horizontal="left"/>
    </xf>
    <xf numFmtId="0" fontId="28" fillId="0" borderId="21" xfId="0" applyFont="1" applyBorder="1" applyAlignment="1">
      <alignment horizontal="left"/>
    </xf>
    <xf numFmtId="0" fontId="28" fillId="0" borderId="11" xfId="0" applyFont="1" applyBorder="1" applyAlignment="1">
      <alignment horizontal="left"/>
    </xf>
    <xf numFmtId="0" fontId="27" fillId="0" borderId="31" xfId="0" applyFont="1" applyBorder="1" applyAlignment="1">
      <alignment horizontal="left"/>
    </xf>
    <xf numFmtId="0" fontId="27" fillId="0" borderId="31" xfId="0" applyFont="1" applyBorder="1" applyAlignment="1">
      <alignment horizontal="left" wrapText="1"/>
    </xf>
    <xf numFmtId="0" fontId="27" fillId="0" borderId="30" xfId="0" applyFont="1" applyBorder="1" applyAlignment="1">
      <alignment horizontal="left" wrapText="1"/>
    </xf>
    <xf numFmtId="0" fontId="27" fillId="51" borderId="28" xfId="0" applyFont="1" applyFill="1" applyBorder="1" applyAlignment="1">
      <alignment horizontal="left" indent="2"/>
    </xf>
    <xf numFmtId="0" fontId="26" fillId="0" borderId="0" xfId="0" applyFont="1" applyAlignment="1">
      <alignment horizontal="center"/>
    </xf>
    <xf numFmtId="0" fontId="16" fillId="0" borderId="36" xfId="0" applyFont="1" applyBorder="1" applyAlignment="1">
      <alignment horizontal="center"/>
    </xf>
    <xf numFmtId="38" fontId="27" fillId="45" borderId="28" xfId="0" applyNumberFormat="1" applyFont="1" applyFill="1" applyBorder="1" applyAlignment="1">
      <alignment horizontal="right" wrapText="1"/>
    </xf>
    <xf numFmtId="0" fontId="28" fillId="44" borderId="29" xfId="0" applyFont="1" applyFill="1" applyBorder="1" applyAlignment="1">
      <alignment horizontal="left"/>
    </xf>
    <xf numFmtId="0" fontId="16" fillId="45" borderId="26" xfId="0" applyFont="1" applyFill="1" applyBorder="1" applyAlignment="1">
      <alignment horizontal="left"/>
    </xf>
    <xf numFmtId="0" fontId="27" fillId="45" borderId="42" xfId="0" applyFont="1" applyFill="1" applyBorder="1" applyAlignment="1">
      <alignment horizontal="right"/>
    </xf>
    <xf numFmtId="0" fontId="28" fillId="50" borderId="41" xfId="0" applyFont="1" applyFill="1" applyBorder="1" applyAlignment="1">
      <alignment horizontal="left"/>
    </xf>
    <xf numFmtId="0" fontId="28" fillId="50" borderId="38" xfId="0" applyFont="1" applyFill="1" applyBorder="1" applyAlignment="1">
      <alignment horizontal="left"/>
    </xf>
    <xf numFmtId="0" fontId="27" fillId="51" borderId="31" xfId="0" applyFont="1" applyFill="1" applyBorder="1" applyAlignment="1">
      <alignment horizontal="left" indent="2"/>
    </xf>
    <xf numFmtId="0" fontId="0" fillId="0" borderId="0" xfId="0" applyAlignment="1">
      <alignment horizontal="center"/>
    </xf>
    <xf numFmtId="0" fontId="19" fillId="57" borderId="0" xfId="0" applyFont="1" applyFill="1" applyAlignment="1">
      <alignment horizontal="center"/>
    </xf>
    <xf numFmtId="0" fontId="22" fillId="39" borderId="14" xfId="0" applyFont="1" applyFill="1" applyBorder="1" applyAlignment="1">
      <alignment horizontal="center" vertical="center" wrapText="1"/>
    </xf>
    <xf numFmtId="0" fontId="22" fillId="39" borderId="15" xfId="0" applyFont="1" applyFill="1" applyBorder="1" applyAlignment="1">
      <alignment horizontal="center" vertical="center" wrapText="1"/>
    </xf>
    <xf numFmtId="0" fontId="22" fillId="39" borderId="16" xfId="0" applyFont="1" applyFill="1" applyBorder="1" applyAlignment="1">
      <alignment horizontal="center" vertical="center" wrapText="1"/>
    </xf>
    <xf numFmtId="0" fontId="22" fillId="39" borderId="17" xfId="0" applyFont="1" applyFill="1" applyBorder="1" applyAlignment="1">
      <alignment horizontal="center" vertical="center"/>
    </xf>
    <xf numFmtId="0" fontId="22" fillId="39" borderId="18" xfId="0" applyFont="1" applyFill="1" applyBorder="1" applyAlignment="1">
      <alignment horizontal="center" vertical="center"/>
    </xf>
    <xf numFmtId="0" fontId="22" fillId="39" borderId="14" xfId="0" applyFont="1" applyFill="1" applyBorder="1" applyAlignment="1">
      <alignment horizontal="center"/>
    </xf>
    <xf numFmtId="0" fontId="22" fillId="39" borderId="16" xfId="0" applyFont="1" applyFill="1" applyBorder="1" applyAlignment="1">
      <alignment horizontal="center"/>
    </xf>
    <xf numFmtId="0" fontId="19" fillId="56" borderId="0" xfId="0" applyFont="1" applyFill="1" applyAlignment="1">
      <alignment horizontal="center"/>
    </xf>
    <xf numFmtId="2" fontId="24" fillId="0" borderId="13" xfId="0" applyNumberFormat="1" applyFont="1" applyBorder="1" applyAlignment="1">
      <alignment horizontal="center"/>
    </xf>
    <xf numFmtId="2" fontId="24" fillId="0" borderId="20" xfId="0" applyNumberFormat="1" applyFont="1" applyBorder="1" applyAlignment="1">
      <alignment horizontal="center"/>
    </xf>
  </cellXfs>
  <cellStyles count="43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7" xr:uid="{00000000-0005-0000-0000-00000C000000}"/>
    <cellStyle name="60% - Accent2 2" xfId="38" xr:uid="{00000000-0005-0000-0000-00000D000000}"/>
    <cellStyle name="60% - Accent3 2" xfId="39" xr:uid="{00000000-0005-0000-0000-00000E000000}"/>
    <cellStyle name="60% - Accent4 2" xfId="40" xr:uid="{00000000-0005-0000-0000-00000F000000}"/>
    <cellStyle name="60% - Accent5 2" xfId="41" xr:uid="{00000000-0005-0000-0000-000010000000}"/>
    <cellStyle name="60% - Accent6 2" xfId="42" xr:uid="{00000000-0005-0000-0000-000011000000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6" xr:uid="{00000000-0005-0000-0000-000023000000}"/>
    <cellStyle name="Normal" xfId="0" builtinId="0"/>
    <cellStyle name="Note" xfId="15" builtinId="10" customBuiltin="1"/>
    <cellStyle name="Output" xfId="10" builtinId="21" customBuiltin="1"/>
    <cellStyle name="Percent" xfId="1" builtinId="5"/>
    <cellStyle name="Title" xfId="2" builtinId="15" customBuiltin="1"/>
    <cellStyle name="Total" xfId="17" builtinId="25" customBuiltin="1"/>
    <cellStyle name="Warning Text" xfId="14" builtinId="11" customBuiltin="1"/>
  </cellStyles>
  <dxfs count="4">
    <dxf>
      <font>
        <color rgb="FFEA9999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EA9999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Medium9"/>
  <colors>
    <mruColors>
      <color rgb="FFFF7E77"/>
      <color rgb="FFB8F0EC"/>
      <color rgb="FF87F9F3"/>
      <color rgb="FFFF2A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35</xdr:row>
      <xdr:rowOff>19050</xdr:rowOff>
    </xdr:from>
    <xdr:to>
      <xdr:col>3</xdr:col>
      <xdr:colOff>96080</xdr:colOff>
      <xdr:row>48</xdr:row>
      <xdr:rowOff>28922</xdr:rowOff>
    </xdr:to>
    <xdr:pic>
      <xdr:nvPicPr>
        <xdr:cNvPr id="29" name="Picture 4">
          <a:extLst>
            <a:ext uri="{FF2B5EF4-FFF2-40B4-BE49-F238E27FC236}">
              <a16:creationId xmlns:a16="http://schemas.microsoft.com/office/drawing/2014/main" id="{67E6910F-10AD-D84B-434F-C0E4622BC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6829425"/>
          <a:ext cx="5030030" cy="2486372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35</xdr:row>
      <xdr:rowOff>0</xdr:rowOff>
    </xdr:from>
    <xdr:to>
      <xdr:col>8</xdr:col>
      <xdr:colOff>263526</xdr:colOff>
      <xdr:row>48</xdr:row>
      <xdr:rowOff>47977</xdr:rowOff>
    </xdr:to>
    <xdr:pic>
      <xdr:nvPicPr>
        <xdr:cNvPr id="20" name="Picture 8">
          <a:extLst>
            <a:ext uri="{FF2B5EF4-FFF2-40B4-BE49-F238E27FC236}">
              <a16:creationId xmlns:a16="http://schemas.microsoft.com/office/drawing/2014/main" id="{BDBF0C6B-E718-0EC5-B8EB-AE266003F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1" y="6810375"/>
          <a:ext cx="5029200" cy="252447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91BC-25F2-EF4F-98A5-4D2F36AF5108}">
  <dimension ref="E4:V171"/>
  <sheetViews>
    <sheetView zoomScale="90" zoomScaleNormal="90" workbookViewId="0">
      <selection activeCell="E14" sqref="E14:L14"/>
    </sheetView>
  </sheetViews>
  <sheetFormatPr baseColWidth="10" defaultColWidth="11.5" defaultRowHeight="15"/>
  <cols>
    <col min="5" max="5" width="24.6640625" bestFit="1" customWidth="1"/>
    <col min="6" max="6" width="67.83203125" bestFit="1" customWidth="1"/>
    <col min="7" max="12" width="11.5" customWidth="1"/>
    <col min="16" max="16" width="17.1640625" customWidth="1"/>
    <col min="17" max="17" width="15.83203125" bestFit="1" customWidth="1"/>
    <col min="18" max="18" width="21" customWidth="1"/>
    <col min="19" max="19" width="12.6640625" customWidth="1"/>
    <col min="28" max="28" width="29.5" bestFit="1" customWidth="1"/>
    <col min="29" max="29" width="80" bestFit="1" customWidth="1"/>
    <col min="30" max="30" width="24.33203125" bestFit="1" customWidth="1"/>
    <col min="31" max="31" width="25.33203125" bestFit="1" customWidth="1"/>
  </cols>
  <sheetData>
    <row r="4" spans="5:22">
      <c r="E4" s="361" t="s">
        <v>0</v>
      </c>
      <c r="F4" s="361"/>
      <c r="G4" s="361"/>
      <c r="H4" s="361"/>
      <c r="I4" s="361"/>
      <c r="J4" s="361"/>
      <c r="K4" s="361"/>
      <c r="L4" s="361"/>
      <c r="P4" s="360" t="s">
        <v>1</v>
      </c>
      <c r="Q4" s="360"/>
      <c r="R4" s="360"/>
      <c r="S4" s="360"/>
      <c r="T4" s="346"/>
      <c r="U4" s="346"/>
      <c r="V4" s="346"/>
    </row>
    <row r="5" spans="5:22">
      <c r="P5" s="360"/>
      <c r="Q5" s="360"/>
      <c r="R5" s="360"/>
      <c r="S5" s="360"/>
      <c r="T5" s="346"/>
      <c r="U5" s="346"/>
    </row>
    <row r="6" spans="5:22">
      <c r="P6" s="346"/>
      <c r="Q6" s="346"/>
      <c r="R6" s="346"/>
      <c r="S6" s="346"/>
      <c r="T6" s="346"/>
      <c r="U6" s="346"/>
    </row>
    <row r="7" spans="5:22">
      <c r="E7" s="352" t="s">
        <v>2</v>
      </c>
      <c r="F7" s="352"/>
      <c r="G7" s="352"/>
      <c r="H7" s="352"/>
      <c r="I7" s="352"/>
      <c r="J7" s="352"/>
      <c r="K7" s="352"/>
      <c r="L7" s="352"/>
    </row>
    <row r="8" spans="5:22">
      <c r="E8" s="353" t="s">
        <v>3</v>
      </c>
      <c r="F8" s="353" t="s">
        <v>4</v>
      </c>
      <c r="G8" s="355" t="s">
        <v>5</v>
      </c>
      <c r="H8" s="355"/>
      <c r="I8" s="355"/>
      <c r="J8" s="356" t="s">
        <v>6</v>
      </c>
      <c r="K8" s="356"/>
      <c r="L8" s="356"/>
      <c r="P8" s="347" t="s">
        <v>5</v>
      </c>
      <c r="Q8" s="347"/>
      <c r="R8" s="348" t="s">
        <v>7</v>
      </c>
      <c r="S8" s="348"/>
    </row>
    <row r="9" spans="5:22">
      <c r="E9" s="353"/>
      <c r="F9" s="353"/>
      <c r="G9" s="116">
        <v>2022</v>
      </c>
      <c r="H9" s="116">
        <v>2021</v>
      </c>
      <c r="I9" s="116">
        <v>2020</v>
      </c>
      <c r="J9" s="116">
        <v>2022</v>
      </c>
      <c r="K9" s="116">
        <v>2021</v>
      </c>
      <c r="L9" s="116">
        <v>2020</v>
      </c>
      <c r="P9" s="345">
        <v>2022</v>
      </c>
      <c r="Q9" s="345">
        <v>2021</v>
      </c>
      <c r="R9" s="345">
        <v>2022</v>
      </c>
      <c r="S9" s="345">
        <v>2021</v>
      </c>
    </row>
    <row r="10" spans="5:22">
      <c r="E10" s="354" t="s">
        <v>8</v>
      </c>
      <c r="F10" s="354"/>
      <c r="G10" s="354"/>
      <c r="H10" s="354"/>
      <c r="I10" s="354"/>
      <c r="J10" s="354"/>
      <c r="K10" s="354"/>
      <c r="L10" s="354"/>
    </row>
    <row r="11" spans="5:22" ht="16">
      <c r="E11" s="117" t="s">
        <v>9</v>
      </c>
      <c r="F11" s="418" t="s">
        <v>10</v>
      </c>
      <c r="G11" s="118">
        <f xml:space="preserve"> 'Financial Ratios Calculation'!D7/'Financial Ratios Calculation'!D8</f>
        <v>0.99089638364216337</v>
      </c>
      <c r="H11" s="118">
        <f xml:space="preserve"> 'Financial Ratios Calculation'!E7/'Financial Ratios Calculation'!E8</f>
        <v>1.3483173395834254</v>
      </c>
      <c r="I11" s="118">
        <f xml:space="preserve"> 'Financial Ratios Calculation'!F7/'Financial Ratios Calculation'!F8</f>
        <v>1.205775068834867</v>
      </c>
      <c r="J11" s="118">
        <f>'Financial Ratios Calculation'!I7/'Financial Ratios Calculation'!I8</f>
        <v>2.974944951242529</v>
      </c>
      <c r="K11" s="118">
        <f>'Financial Ratios Calculation'!J7/'Financial Ratios Calculation'!J8</f>
        <v>4.4102564102564106</v>
      </c>
      <c r="L11" s="118">
        <f>'Financial Ratios Calculation'!K7/'Financial Ratios Calculation'!K8</f>
        <v>3.2098575920103571</v>
      </c>
      <c r="P11" s="351">
        <f>(G11-H11)/H11</f>
        <v>-0.26508667169680572</v>
      </c>
      <c r="Q11" s="351">
        <f>(H11-I11)/I11</f>
        <v>0.11821630288499507</v>
      </c>
      <c r="R11" s="351">
        <f>(J11-K11)/K11</f>
        <v>-0.32544852849733358</v>
      </c>
      <c r="S11" s="351">
        <f>(K11-L11)/L11</f>
        <v>0.37397260901354656</v>
      </c>
    </row>
    <row r="12" spans="5:22" ht="16">
      <c r="E12" s="117" t="s">
        <v>11</v>
      </c>
      <c r="F12" s="419" t="s">
        <v>12</v>
      </c>
      <c r="G12" s="118">
        <f>('Financial Ratios Calculation'!D7-'Financial Ratios Calculation'!D9)/'Financial Ratios Calculation'!D8</f>
        <v>0.7671947242034336</v>
      </c>
      <c r="H12" s="118">
        <f>('Financial Ratios Calculation'!E7-'Financial Ratios Calculation'!E9)/'Financial Ratios Calculation'!E8</f>
        <v>1.1186485649847433</v>
      </c>
      <c r="I12" s="118">
        <f>('Financial Ratios Calculation'!F7-'Financial Ratios Calculation'!F9)/'Financial Ratios Calculation'!F8</f>
        <v>0.9858800272986139</v>
      </c>
      <c r="J12" s="118">
        <f xml:space="preserve"> ('Financial Ratios Calculation'!I7-'Financial Ratios Calculation'!I9)/'Financial Ratios Calculation'!I8</f>
        <v>1.1557565272098145</v>
      </c>
      <c r="K12" s="118">
        <f xml:space="preserve"> ('Financial Ratios Calculation'!J7-'Financial Ratios Calculation'!J9)/'Financial Ratios Calculation'!J8</f>
        <v>2.8493512387317699</v>
      </c>
      <c r="L12" s="118">
        <f xml:space="preserve"> ('Financial Ratios Calculation'!K7-'Financial Ratios Calculation'!K9)/'Financial Ratios Calculation'!K8</f>
        <v>1.7918993896800444</v>
      </c>
      <c r="P12" s="351">
        <f t="shared" ref="P12:P70" si="0">(G12-H12)/H12</f>
        <v>-0.31417717036637238</v>
      </c>
      <c r="Q12" s="351">
        <f t="shared" ref="Q12:Q70" si="1">(H12-I12)/I12</f>
        <v>0.13467007547553758</v>
      </c>
      <c r="R12" s="351">
        <f t="shared" ref="R12:R61" si="2">(J12-K12)/K12</f>
        <v>-0.5943790602227631</v>
      </c>
      <c r="S12" s="351">
        <f t="shared" ref="S12:S61" si="3">(K12-L12)/L12</f>
        <v>0.59012903020215923</v>
      </c>
    </row>
    <row r="13" spans="5:22" ht="16">
      <c r="E13" s="117" t="s">
        <v>13</v>
      </c>
      <c r="F13" s="419" t="s">
        <v>14</v>
      </c>
      <c r="G13" s="118">
        <f>'Financial Ratios Calculation'!D10/'Financial Ratios Calculation'!D8</f>
        <v>0.25316296906920899</v>
      </c>
      <c r="H13" s="118">
        <f>'Financial Ratios Calculation'!E10/'Financial Ratios Calculation'!E8</f>
        <v>0.32032459204882147</v>
      </c>
      <c r="I13" s="118">
        <f>'Financial Ratios Calculation'!F10/'Financial Ratios Calculation'!F8</f>
        <v>0.3291130303814746</v>
      </c>
      <c r="J13" s="118">
        <f>'Financial Ratios Calculation'!I10/'Financial Ratios Calculation'!I8</f>
        <v>0.14968543567159484</v>
      </c>
      <c r="K13" s="118">
        <f>'Financial Ratios Calculation'!J10/'Financial Ratios Calculation'!J8</f>
        <v>1.0477339769375167</v>
      </c>
      <c r="L13" s="118">
        <f>'Financial Ratios Calculation'!K10/'Financial Ratios Calculation'!K8</f>
        <v>0.5411318660995007</v>
      </c>
      <c r="P13" s="351">
        <f t="shared" si="0"/>
        <v>-0.20966739565651646</v>
      </c>
      <c r="Q13" s="351">
        <f t="shared" si="1"/>
        <v>-2.6703404366780818E-2</v>
      </c>
      <c r="R13" s="351">
        <f t="shared" si="2"/>
        <v>-0.85713412090622543</v>
      </c>
      <c r="S13" s="351">
        <f t="shared" si="3"/>
        <v>0.93618975812609873</v>
      </c>
    </row>
    <row r="14" spans="5:22" ht="16">
      <c r="E14" s="354" t="s">
        <v>15</v>
      </c>
      <c r="F14" s="354"/>
      <c r="G14" s="354"/>
      <c r="H14" s="354"/>
      <c r="I14" s="354"/>
      <c r="J14" s="354"/>
      <c r="K14" s="354"/>
      <c r="L14" s="354"/>
      <c r="P14" s="351"/>
      <c r="Q14" s="351"/>
      <c r="R14" s="351"/>
      <c r="S14" s="351"/>
    </row>
    <row r="15" spans="5:22" ht="16">
      <c r="E15" s="117" t="s">
        <v>16</v>
      </c>
      <c r="F15" s="118" t="s">
        <v>17</v>
      </c>
      <c r="G15" s="118">
        <f>('Financial Ratios Calculation'!D62/'Financial Ratios Calculation'!D65)*360</f>
        <v>61.274659532561643</v>
      </c>
      <c r="H15" s="118">
        <f>('Financial Ratios Calculation'!E62/'Financial Ratios Calculation'!E65)*360</f>
        <v>58.671074380165287</v>
      </c>
      <c r="I15" s="118">
        <f>('Financial Ratios Calculation'!F62/'Financial Ratios Calculation'!F65)*360</f>
        <v>59.180470793374013</v>
      </c>
      <c r="J15" s="118">
        <f>('Financial Ratios Calculation'!I62/'Financial Ratios Calculation'!I65)*360</f>
        <v>48.589802041122141</v>
      </c>
      <c r="K15" s="118">
        <f>('Financial Ratios Calculation'!J62/'Financial Ratios Calculation'!J65)*360</f>
        <v>35.909728564300039</v>
      </c>
      <c r="L15" s="118">
        <f>('Financial Ratios Calculation'!K62/'Financial Ratios Calculation'!K65)*360</f>
        <v>27.306486713119174</v>
      </c>
      <c r="P15" s="351">
        <f t="shared" si="0"/>
        <v>4.4375958338962004E-2</v>
      </c>
      <c r="Q15" s="351">
        <f t="shared" si="1"/>
        <v>-8.6075086321509928E-3</v>
      </c>
      <c r="R15" s="351">
        <f t="shared" si="2"/>
        <v>0.3531096998997677</v>
      </c>
      <c r="S15" s="351">
        <f t="shared" si="3"/>
        <v>0.31506220267609564</v>
      </c>
    </row>
    <row r="16" spans="5:22" ht="16">
      <c r="E16" s="117" t="s">
        <v>18</v>
      </c>
      <c r="F16" s="118" t="s">
        <v>19</v>
      </c>
      <c r="G16" s="118">
        <f>('Financial Ratios Calculation'!D61/'Financial Ratios Calculation'!D64)*360</f>
        <v>-138.76852766798419</v>
      </c>
      <c r="H16" s="118">
        <f>('Financial Ratios Calculation'!E61/'Financial Ratios Calculation'!E64)*360</f>
        <v>-123.02822925577416</v>
      </c>
      <c r="I16" s="118">
        <f>('Financial Ratios Calculation'!F61/'Financial Ratios Calculation'!F64)*360</f>
        <v>-159.50685191331974</v>
      </c>
      <c r="J16" s="118">
        <f>('Financial Ratios Calculation'!I61/'Financial Ratios Calculation'!I64)*360</f>
        <v>-3257.6310436551398</v>
      </c>
      <c r="K16" s="118">
        <f>('Financial Ratios Calculation'!J61/'Financial Ratios Calculation'!J64)*360</f>
        <v>-417.36988064412338</v>
      </c>
      <c r="L16" s="118">
        <f>('Financial Ratios Calculation'!K61/'Financial Ratios Calculation'!K64)*360</f>
        <v>-1228.7792716588015</v>
      </c>
      <c r="P16" s="351">
        <f t="shared" si="0"/>
        <v>0.12794054264965593</v>
      </c>
      <c r="Q16" s="351">
        <f t="shared" si="1"/>
        <v>-0.22869627367085787</v>
      </c>
      <c r="R16" s="351">
        <f t="shared" si="2"/>
        <v>6.8051416614626463</v>
      </c>
      <c r="S16" s="351">
        <f t="shared" si="3"/>
        <v>-0.66033779192849562</v>
      </c>
    </row>
    <row r="17" spans="5:19" ht="16">
      <c r="E17" s="117" t="s">
        <v>20</v>
      </c>
      <c r="F17" s="118" t="s">
        <v>21</v>
      </c>
      <c r="G17" s="118">
        <f xml:space="preserve"> ('Financial Ratios Calculation'!D63/'Financial Ratios Calculation'!D64)*360</f>
        <v>-130.09757905138341</v>
      </c>
      <c r="H17" s="118">
        <f xml:space="preserve"> ('Financial Ratios Calculation'!E63/'Financial Ratios Calculation'!E64)*360</f>
        <v>-130.94031716786208</v>
      </c>
      <c r="I17" s="118">
        <f xml:space="preserve"> ('Financial Ratios Calculation'!F63/'Financial Ratios Calculation'!F64)*360</f>
        <v>-162.25520413485702</v>
      </c>
      <c r="J17" s="118">
        <f>('Financial Ratios Calculation'!I63/'Financial Ratios Calculation'!I64)*360</f>
        <v>-697.21483335941173</v>
      </c>
      <c r="K17" s="118">
        <f>('Financial Ratios Calculation'!J63/'Financial Ratios Calculation'!J64)*360</f>
        <v>-158.54076332603</v>
      </c>
      <c r="L17" s="118">
        <f>('Financial Ratios Calculation'!K63/'Financial Ratios Calculation'!K64)*360</f>
        <v>-498.95467901344489</v>
      </c>
      <c r="P17" s="351">
        <f t="shared" si="0"/>
        <v>-6.4360476185367915E-3</v>
      </c>
      <c r="Q17" s="351">
        <f t="shared" si="1"/>
        <v>-0.19299773547459129</v>
      </c>
      <c r="R17" s="351">
        <f t="shared" si="2"/>
        <v>3.3977007473190306</v>
      </c>
      <c r="S17" s="351">
        <f t="shared" si="3"/>
        <v>-0.68225418060112442</v>
      </c>
    </row>
    <row r="18" spans="5:19" ht="16">
      <c r="E18" s="117" t="s">
        <v>22</v>
      </c>
      <c r="F18" s="118" t="s">
        <v>23</v>
      </c>
      <c r="G18" s="118">
        <f t="shared" ref="G18:L18" si="4">G16+G15-G17</f>
        <v>52.60371091596086</v>
      </c>
      <c r="H18" s="118">
        <f t="shared" si="4"/>
        <v>66.583162292253206</v>
      </c>
      <c r="I18" s="118">
        <f t="shared" si="4"/>
        <v>61.928823014911302</v>
      </c>
      <c r="J18" s="118">
        <f t="shared" si="4"/>
        <v>-2511.8264082546057</v>
      </c>
      <c r="K18" s="118">
        <f t="shared" si="4"/>
        <v>-222.91938875379333</v>
      </c>
      <c r="L18" s="118">
        <f t="shared" si="4"/>
        <v>-702.51810593223729</v>
      </c>
      <c r="P18" s="351">
        <f t="shared" si="0"/>
        <v>-0.20995475274863631</v>
      </c>
      <c r="Q18" s="351">
        <f t="shared" si="1"/>
        <v>7.5156268935084175E-2</v>
      </c>
      <c r="R18" s="351">
        <f t="shared" si="2"/>
        <v>10.267868722845057</v>
      </c>
      <c r="S18" s="351">
        <f t="shared" si="3"/>
        <v>-0.68268520501976149</v>
      </c>
    </row>
    <row r="19" spans="5:19" ht="16">
      <c r="E19" s="354" t="s">
        <v>24</v>
      </c>
      <c r="F19" s="354"/>
      <c r="G19" s="354"/>
      <c r="H19" s="354"/>
      <c r="I19" s="354"/>
      <c r="J19" s="354"/>
      <c r="K19" s="354"/>
      <c r="L19" s="354"/>
      <c r="P19" s="351"/>
      <c r="Q19" s="351"/>
      <c r="R19" s="351"/>
      <c r="S19" s="351"/>
    </row>
    <row r="20" spans="5:19" ht="16">
      <c r="E20" s="117" t="s">
        <v>25</v>
      </c>
      <c r="F20" s="118" t="s">
        <v>26</v>
      </c>
      <c r="G20" s="118">
        <f>'Financial Ratios Calculation'!D24/'Financial Ratios Calculation'!D26</f>
        <v>0.23359460444768501</v>
      </c>
      <c r="H20" s="118">
        <f>'Financial Ratios Calculation'!E24/'Financial Ratios Calculation'!E26</f>
        <v>0.28204747173175904</v>
      </c>
      <c r="I20" s="118">
        <f>'Financial Ratios Calculation'!F24/'Financial Ratios Calculation'!F26</f>
        <v>0.23252947311861943</v>
      </c>
      <c r="J20" s="118">
        <f>'Financial Ratios Calculation'!I24/'Financial Ratios Calculation'!I26</f>
        <v>-0.33492074337250616</v>
      </c>
      <c r="K20" s="118">
        <f>'Financial Ratios Calculation'!J24/'Financial Ratios Calculation'!J26</f>
        <v>-0.2159559143747278</v>
      </c>
      <c r="L20" s="118">
        <f>'Financial Ratios Calculation'!K24/'Financial Ratios Calculation'!K26</f>
        <v>-0.10364023241318536</v>
      </c>
      <c r="P20" s="351">
        <f t="shared" si="0"/>
        <v>-0.17178975931454218</v>
      </c>
      <c r="Q20" s="351">
        <f t="shared" si="1"/>
        <v>0.21295364389304389</v>
      </c>
      <c r="R20" s="351">
        <f t="shared" si="2"/>
        <v>0.55087553097226116</v>
      </c>
      <c r="S20" s="351">
        <f t="shared" si="3"/>
        <v>1.0837073532773491</v>
      </c>
    </row>
    <row r="21" spans="5:19" ht="16">
      <c r="E21" s="117" t="s">
        <v>27</v>
      </c>
      <c r="F21" s="118" t="s">
        <v>28</v>
      </c>
      <c r="G21" s="118">
        <f>'Financial Ratios Calculation'!D24/'Financial Ratios Calculation'!D27</f>
        <v>9.574763312662106E-2</v>
      </c>
      <c r="H21" s="118">
        <f>'Financial Ratios Calculation'!E24/'Financial Ratios Calculation'!E27</f>
        <v>0.1147029414673274</v>
      </c>
      <c r="I21" s="118">
        <f>'Financial Ratios Calculation'!F24/'Financial Ratios Calculation'!F27</f>
        <v>8.4130959323933358E-2</v>
      </c>
      <c r="J21" s="118">
        <f>'Financial Ratios Calculation'!I24/'Financial Ratios Calculation'!I27</f>
        <v>-0.20373733889168283</v>
      </c>
      <c r="K21" s="118">
        <f>'Financial Ratios Calculation'!J24/'Financial Ratios Calculation'!J27</f>
        <v>-0.14189077649423876</v>
      </c>
      <c r="L21" s="118">
        <f>'Financial Ratios Calculation'!K24/'Financial Ratios Calculation'!K27</f>
        <v>-6.0091720253227655E-2</v>
      </c>
      <c r="P21" s="351">
        <f t="shared" si="0"/>
        <v>-0.1652556429523272</v>
      </c>
      <c r="Q21" s="351">
        <f t="shared" si="1"/>
        <v>0.36338563578814448</v>
      </c>
      <c r="R21" s="351">
        <f t="shared" si="2"/>
        <v>0.4358744375463704</v>
      </c>
      <c r="S21" s="351">
        <f t="shared" si="3"/>
        <v>1.3612367210708618</v>
      </c>
    </row>
    <row r="22" spans="5:19" ht="16">
      <c r="E22" s="117" t="s">
        <v>29</v>
      </c>
      <c r="F22" s="118" t="s">
        <v>30</v>
      </c>
      <c r="G22" s="118">
        <f>'Financial Ratios Calculation'!D24/'Financial Ratios Calculation'!D25</f>
        <v>0.18896601118565876</v>
      </c>
      <c r="H22" s="118">
        <f>'Financial Ratios Calculation'!E24/'Financial Ratios Calculation'!E25</f>
        <v>0.22263929618768327</v>
      </c>
      <c r="I22" s="118">
        <f>'Financial Ratios Calculation'!F24/'Financial Ratios Calculation'!F25</f>
        <v>0.17817010558946042</v>
      </c>
      <c r="J22" s="118">
        <f>'Financial Ratios Calculation'!I24/'Financial Ratios Calculation'!I25</f>
        <v>-0.15628517046016113</v>
      </c>
      <c r="K22" s="118">
        <f>'Financial Ratios Calculation'!J24/'Financial Ratios Calculation'!J25</f>
        <v>-0.12138815399244914</v>
      </c>
      <c r="L22" s="118">
        <f>'Financial Ratios Calculation'!K24/'Financial Ratios Calculation'!K25</f>
        <v>-4.8136242937289117E-2</v>
      </c>
      <c r="P22" s="351">
        <f t="shared" si="0"/>
        <v>-0.15124591920034722</v>
      </c>
      <c r="Q22" s="351">
        <f t="shared" si="1"/>
        <v>0.24958839447897488</v>
      </c>
      <c r="R22" s="351">
        <f t="shared" si="2"/>
        <v>0.28748288296634567</v>
      </c>
      <c r="S22" s="351">
        <f t="shared" si="3"/>
        <v>1.521762119045956</v>
      </c>
    </row>
    <row r="23" spans="5:19" ht="16">
      <c r="E23" s="354" t="s">
        <v>31</v>
      </c>
      <c r="F23" s="354"/>
      <c r="G23" s="354"/>
      <c r="H23" s="354"/>
      <c r="I23" s="354"/>
      <c r="J23" s="354"/>
      <c r="K23" s="354"/>
      <c r="L23" s="354"/>
      <c r="P23" s="351"/>
      <c r="Q23" s="351"/>
      <c r="R23" s="351"/>
      <c r="S23" s="351"/>
    </row>
    <row r="24" spans="5:19" ht="16">
      <c r="E24" s="117" t="s">
        <v>32</v>
      </c>
      <c r="F24" s="118" t="s">
        <v>33</v>
      </c>
      <c r="G24" s="118">
        <f>'Financial Ratios Calculation'!D45/'Financial Ratios Calculation'!D46</f>
        <v>0.51636633508671426</v>
      </c>
      <c r="H24" s="118">
        <f>'Financial Ratios Calculation'!E45/'Financial Ratios Calculation'!E46</f>
        <v>0.45595287951042246</v>
      </c>
      <c r="I24" s="118">
        <f>'Financial Ratios Calculation'!F45/'Financial Ratios Calculation'!F46</f>
        <v>0.55731849932045896</v>
      </c>
      <c r="J24" s="118">
        <f>'Financial Ratios Calculation'!I45/'Financial Ratios Calculation'!I46</f>
        <v>0.68324678874009293</v>
      </c>
      <c r="K24" s="118">
        <f>'Financial Ratios Calculation'!J45/'Financial Ratios Calculation'!J46</f>
        <v>0</v>
      </c>
      <c r="L24" s="118">
        <f>'Financial Ratios Calculation'!K45/'Financial Ratios Calculation'!K46</f>
        <v>0</v>
      </c>
      <c r="P24" s="351">
        <f t="shared" si="0"/>
        <v>0.13249933993433816</v>
      </c>
      <c r="Q24" s="351">
        <f t="shared" si="1"/>
        <v>-0.18188095305221713</v>
      </c>
      <c r="R24" s="351"/>
      <c r="S24" s="351"/>
    </row>
    <row r="25" spans="5:19" ht="16">
      <c r="E25" s="117" t="s">
        <v>34</v>
      </c>
      <c r="F25" s="118" t="s">
        <v>35</v>
      </c>
      <c r="G25" s="118">
        <f>'Financial Ratios Calculation'!I47/'Financial Ratios Calculation'!I46</f>
        <v>1.6438849412407761</v>
      </c>
      <c r="H25" s="118">
        <f>'Financial Ratios Calculation'!J47/'Financial Ratios Calculation'!J46</f>
        <v>1.5219869797773387</v>
      </c>
      <c r="I25" s="118">
        <f>'Financial Ratios Calculation'!K47/'Financial Ratios Calculation'!K46</f>
        <v>1.7247007071264302</v>
      </c>
      <c r="J25" s="118">
        <f>'Financial Ratios Calculation'!I47/'Financial Ratios Calculation'!I46</f>
        <v>1.6438849412407761</v>
      </c>
      <c r="K25" s="118">
        <f>'Financial Ratios Calculation'!J47/'Financial Ratios Calculation'!J46</f>
        <v>1.5219869797773387</v>
      </c>
      <c r="L25" s="118">
        <f>'Financial Ratios Calculation'!K47/'Financial Ratios Calculation'!K46</f>
        <v>1.7247007071264302</v>
      </c>
      <c r="P25" s="351">
        <f t="shared" si="0"/>
        <v>8.0091330006824821E-2</v>
      </c>
      <c r="Q25" s="351">
        <f t="shared" si="1"/>
        <v>-0.11753559705256821</v>
      </c>
      <c r="R25" s="351">
        <f t="shared" si="2"/>
        <v>8.0091330006824821E-2</v>
      </c>
      <c r="S25" s="351">
        <f t="shared" si="3"/>
        <v>-0.11753559705256821</v>
      </c>
    </row>
    <row r="26" spans="5:19" ht="16">
      <c r="E26" s="117" t="s">
        <v>36</v>
      </c>
      <c r="F26" s="118" t="s">
        <v>37</v>
      </c>
      <c r="G26" s="118">
        <f>'Financial Ratios Calculation'!D48/'Financial Ratios Calculation'!D49</f>
        <v>78.713768115942031</v>
      </c>
      <c r="H26" s="118">
        <f>'Financial Ratios Calculation'!E48/'Financial Ratios Calculation'!E49</f>
        <v>124.45901639344262</v>
      </c>
      <c r="I26" s="118">
        <f>'Financial Ratios Calculation'!F48/'Financial Ratios Calculation'!F49</f>
        <v>82.074626865671647</v>
      </c>
      <c r="J26" s="118">
        <f>'Financial Ratios Calculation'!I48/'Financial Ratios Calculation'!I49</f>
        <v>-57.152698048220437</v>
      </c>
      <c r="K26" s="118">
        <f>'Financial Ratios Calculation'!J48/'Financial Ratios Calculation'!J49</f>
        <v>20.73536036036036</v>
      </c>
      <c r="L26" s="118">
        <f>'Financial Ratios Calculation'!K48/'Financial Ratios Calculation'!K49</f>
        <v>16.176821983273594</v>
      </c>
      <c r="P26" s="351">
        <f t="shared" si="0"/>
        <v>-0.36755270612849528</v>
      </c>
      <c r="Q26" s="351">
        <f t="shared" si="1"/>
        <v>0.51641282021470369</v>
      </c>
      <c r="R26" s="351">
        <f t="shared" si="2"/>
        <v>-3.7562915259229759</v>
      </c>
      <c r="S26" s="351">
        <f t="shared" si="3"/>
        <v>0.28179443291149359</v>
      </c>
    </row>
    <row r="27" spans="5:19" ht="16">
      <c r="E27" s="117" t="s">
        <v>38</v>
      </c>
      <c r="F27" s="118" t="s">
        <v>39</v>
      </c>
      <c r="G27" s="118">
        <f>'Financial Ratios Calculation'!D45/('Financial Ratios Calculation'!D46+'Financial Ratios Calculation'!D45)</f>
        <v>0.34052875162068641</v>
      </c>
      <c r="H27" s="118">
        <f>'Financial Ratios Calculation'!E45/('Financial Ratios Calculation'!E46+'Financial Ratios Calculation'!E45)</f>
        <v>0.31316458515040735</v>
      </c>
      <c r="I27" s="118">
        <f>'Financial Ratios Calculation'!F45/('Financial Ratios Calculation'!F46+'Financial Ratios Calculation'!F45)</f>
        <v>0.35787059587595388</v>
      </c>
      <c r="J27" s="118">
        <f>'Financial Ratios Calculation'!I45/('Financial Ratios Calculation'!I46+'Financial Ratios Calculation'!I45)</f>
        <v>0.40591005033284622</v>
      </c>
      <c r="K27" s="118">
        <f>'Financial Ratios Calculation'!J45/('Financial Ratios Calculation'!J46+'Financial Ratios Calculation'!J45)</f>
        <v>0</v>
      </c>
      <c r="L27" s="118">
        <f>'Financial Ratios Calculation'!K45/('Financial Ratios Calculation'!K46+'Financial Ratios Calculation'!K45)</f>
        <v>0</v>
      </c>
      <c r="P27" s="351">
        <f t="shared" si="0"/>
        <v>8.7379505115933023E-2</v>
      </c>
      <c r="Q27" s="351">
        <f t="shared" si="1"/>
        <v>-0.12492227984285877</v>
      </c>
      <c r="R27" s="351"/>
      <c r="S27" s="351"/>
    </row>
    <row r="28" spans="5:19" ht="16">
      <c r="E28" s="354" t="s">
        <v>40</v>
      </c>
      <c r="F28" s="354"/>
      <c r="G28" s="354"/>
      <c r="H28" s="354"/>
      <c r="I28" s="354"/>
      <c r="J28" s="354"/>
      <c r="K28" s="354"/>
      <c r="L28" s="354"/>
      <c r="P28" s="351"/>
      <c r="Q28" s="351"/>
      <c r="R28" s="351"/>
      <c r="S28" s="351"/>
    </row>
    <row r="29" spans="5:19" ht="16">
      <c r="E29" s="117" t="s">
        <v>41</v>
      </c>
      <c r="F29" s="118" t="s">
        <v>42</v>
      </c>
      <c r="G29" s="118">
        <f>'Financial Ratios Calculation'!D79/'Summary of Calculations'!G31</f>
        <v>25.846176355833009</v>
      </c>
      <c r="H29" s="118">
        <f>'Financial Ratios Calculation'!E79/'Summary of Calculations'!H31</f>
        <v>21.566061883322156</v>
      </c>
      <c r="I29" s="118">
        <f>'Financial Ratios Calculation'!F79/'Summary of Calculations'!I31</f>
        <v>28.162399075710209</v>
      </c>
      <c r="J29" s="118">
        <f>'Financial Ratios Calculation'!I79/'Summary of Calculations'!J31</f>
        <v>-5.6616295314061889</v>
      </c>
      <c r="K29" s="118">
        <f>'Financial Ratios Calculation'!J79/'Summary of Calculations'!K31</f>
        <v>-14.876572765583392</v>
      </c>
      <c r="L29" s="118">
        <f>'Financial Ratios Calculation'!K79/'Summary of Calculations'!L31</f>
        <v>0</v>
      </c>
      <c r="P29" s="351">
        <f t="shared" si="0"/>
        <v>0.19846527825373744</v>
      </c>
      <c r="Q29" s="351">
        <f t="shared" si="1"/>
        <v>-0.23422497403913745</v>
      </c>
      <c r="R29" s="351">
        <f t="shared" si="2"/>
        <v>-0.61942648884128482</v>
      </c>
      <c r="S29" s="351"/>
    </row>
    <row r="30" spans="5:19" ht="16">
      <c r="E30" s="117" t="s">
        <v>43</v>
      </c>
      <c r="F30" s="118" t="s">
        <v>44</v>
      </c>
      <c r="G30" s="118">
        <f>'Trend Analysis Calculation'!C47/'Financial Ratios Calculation'!D78</f>
        <v>29.258666666666667</v>
      </c>
      <c r="H30" s="118">
        <f>'Trend Analysis Calculation'!D47/'Financial Ratios Calculation'!E78</f>
        <v>28.124240121580549</v>
      </c>
      <c r="I30" s="118">
        <f>'Trend Analysis Calculation'!E47/'Financial Ratios Calculation'!F78</f>
        <v>24.032662362324345</v>
      </c>
      <c r="J30" s="118">
        <f>'Trend Analysis Calculation'!N41/'Financial Ratios Calculation'!I78</f>
        <v>1.5873876648828982</v>
      </c>
      <c r="K30" s="118">
        <f>'Trend Analysis Calculation'!O41/'Financial Ratios Calculation'!J78</f>
        <v>2.5181438063610879</v>
      </c>
      <c r="L30" s="118">
        <f>'Trend Analysis Calculation'!P41/'Financial Ratios Calculation'!K78</f>
        <v>1.5476140317419487</v>
      </c>
      <c r="P30" s="351">
        <f t="shared" si="0"/>
        <v>4.0336255848407415E-2</v>
      </c>
      <c r="Q30" s="351">
        <f t="shared" si="1"/>
        <v>0.17025070704070269</v>
      </c>
      <c r="R30" s="351">
        <f t="shared" si="2"/>
        <v>-0.36961993160478163</v>
      </c>
      <c r="S30" s="351">
        <f t="shared" si="3"/>
        <v>0.62711357916982668</v>
      </c>
    </row>
    <row r="31" spans="5:19" ht="16">
      <c r="E31" s="117" t="s">
        <v>45</v>
      </c>
      <c r="F31" s="118" t="s">
        <v>46</v>
      </c>
      <c r="G31" s="118">
        <f>'Financial Ratios Calculation'!D77/'Financial Ratios Calculation'!D78</f>
        <v>6.8346666666666662</v>
      </c>
      <c r="H31" s="118">
        <f>'Financial Ratios Calculation'!E77/'Financial Ratios Calculation'!E78</f>
        <v>7.9323708206686927</v>
      </c>
      <c r="I31" s="118">
        <f>'Financial Ratios Calculation'!F77/'Financial Ratios Calculation'!F78</f>
        <v>5.5883023167489556</v>
      </c>
      <c r="J31" s="118">
        <f>'Financial Ratios Calculation'!I77/'Financial Ratios Calculation'!I78</f>
        <v>-0.53164905674292695</v>
      </c>
      <c r="K31" s="118">
        <f>'Financial Ratios Calculation'!J77/'Financial Ratios Calculation'!J78</f>
        <v>-0.54380804822976625</v>
      </c>
      <c r="L31" s="118">
        <f>'Financial Ratios Calculation'!K77/'Financial Ratios Calculation'!K78</f>
        <v>-0.16039507793564239</v>
      </c>
      <c r="P31" s="351">
        <f t="shared" si="0"/>
        <v>-0.13838285914998247</v>
      </c>
      <c r="Q31" s="351">
        <f t="shared" si="1"/>
        <v>0.41945985937343128</v>
      </c>
      <c r="R31" s="351">
        <f t="shared" si="2"/>
        <v>-2.2358976713235331E-2</v>
      </c>
      <c r="S31" s="351">
        <f t="shared" si="3"/>
        <v>2.3904285295335939</v>
      </c>
    </row>
    <row r="32" spans="5:19" ht="16">
      <c r="E32" s="117" t="s">
        <v>47</v>
      </c>
      <c r="F32" s="118" t="s">
        <v>48</v>
      </c>
      <c r="G32" s="123">
        <f>'Financial Ratios Calculation'!D80/'Financial Ratios Calculation'!D79</f>
        <v>2.5191055759977356E-2</v>
      </c>
      <c r="H32" s="123">
        <f>'Financial Ratios Calculation'!E80/'Financial Ratios Calculation'!E79</f>
        <v>2.4492897644239203E-2</v>
      </c>
      <c r="I32" s="123">
        <f>'Financial Ratios Calculation'!F80/'Financial Ratios Calculation'!F79</f>
        <v>2.5289109162536537E-2</v>
      </c>
      <c r="J32" s="123">
        <f>'Financial Ratios Calculation'!I80/'Financial Ratios Calculation'!I79</f>
        <v>0</v>
      </c>
      <c r="K32" s="123">
        <f>'Financial Ratios Calculation'!J80/'Financial Ratios Calculation'!J79</f>
        <v>0</v>
      </c>
      <c r="L32" s="123" t="s">
        <v>49</v>
      </c>
      <c r="P32" s="351">
        <f t="shared" si="0"/>
        <v>2.850451285425435E-2</v>
      </c>
      <c r="Q32" s="351">
        <f t="shared" si="1"/>
        <v>-3.1484364007445823E-2</v>
      </c>
      <c r="R32" s="351"/>
      <c r="S32" s="351"/>
    </row>
    <row r="33" spans="5:19" ht="16">
      <c r="P33" s="351"/>
      <c r="Q33" s="351"/>
      <c r="R33" s="351"/>
      <c r="S33" s="351"/>
    </row>
    <row r="34" spans="5:19" ht="16">
      <c r="P34" s="351"/>
      <c r="Q34" s="351"/>
      <c r="R34" s="351"/>
      <c r="S34" s="351"/>
    </row>
    <row r="35" spans="5:19" ht="16">
      <c r="P35" s="351"/>
      <c r="Q35" s="351"/>
      <c r="R35" s="351"/>
      <c r="S35" s="351"/>
    </row>
    <row r="36" spans="5:19" ht="16">
      <c r="E36" s="352" t="s">
        <v>50</v>
      </c>
      <c r="F36" s="352"/>
      <c r="G36" s="352"/>
      <c r="H36" s="352"/>
      <c r="I36" s="352"/>
      <c r="J36" s="352"/>
      <c r="K36" s="352"/>
      <c r="L36" s="352"/>
      <c r="P36" s="351"/>
      <c r="Q36" s="351"/>
      <c r="R36" s="351"/>
      <c r="S36" s="351"/>
    </row>
    <row r="37" spans="5:19" ht="16">
      <c r="E37" s="353" t="s">
        <v>51</v>
      </c>
      <c r="F37" s="353" t="s">
        <v>4</v>
      </c>
      <c r="G37" s="355" t="s">
        <v>5</v>
      </c>
      <c r="H37" s="355"/>
      <c r="I37" s="355"/>
      <c r="J37" s="356" t="s">
        <v>6</v>
      </c>
      <c r="K37" s="356"/>
      <c r="L37" s="356"/>
      <c r="P37" s="351"/>
      <c r="Q37" s="351"/>
      <c r="R37" s="351"/>
      <c r="S37" s="351"/>
    </row>
    <row r="38" spans="5:19" ht="16">
      <c r="E38" s="353"/>
      <c r="F38" s="353"/>
      <c r="G38" s="116">
        <v>2022</v>
      </c>
      <c r="H38" s="116">
        <v>2021</v>
      </c>
      <c r="I38" s="116">
        <v>2020</v>
      </c>
      <c r="J38" s="116">
        <v>2022</v>
      </c>
      <c r="K38" s="116">
        <v>2021</v>
      </c>
      <c r="L38" s="116">
        <v>2020</v>
      </c>
      <c r="P38" s="351"/>
      <c r="Q38" s="351"/>
      <c r="R38" s="351"/>
      <c r="S38" s="351"/>
    </row>
    <row r="39" spans="5:19" ht="16">
      <c r="E39" s="354" t="s">
        <v>52</v>
      </c>
      <c r="F39" s="354"/>
      <c r="G39" s="354"/>
      <c r="H39" s="354"/>
      <c r="I39" s="354"/>
      <c r="J39" s="354"/>
      <c r="K39" s="354"/>
      <c r="L39" s="354"/>
      <c r="P39" s="351"/>
      <c r="Q39" s="351"/>
      <c r="R39" s="351"/>
      <c r="S39" s="351"/>
    </row>
    <row r="40" spans="5:19" ht="16">
      <c r="E40" s="117" t="s">
        <v>53</v>
      </c>
      <c r="F40" s="118" t="s">
        <v>54</v>
      </c>
      <c r="G40" s="118">
        <f>'Financial Ratios Calculation'!D79/'Financial Ratios Calculation'!D84</f>
        <v>25.846176355833009</v>
      </c>
      <c r="H40" s="118">
        <f>'Financial Ratios Calculation'!E79/'Financial Ratios Calculation'!E84</f>
        <v>21.566061883322156</v>
      </c>
      <c r="I40" s="118">
        <f>'Financial Ratios Calculation'!F79/'Financial Ratios Calculation'!F84</f>
        <v>28.162399075710209</v>
      </c>
      <c r="J40" s="118">
        <f>'Financial Ratios Calculation'!I79/'Financial Ratios Calculation'!I84</f>
        <v>-5.6616295314061889</v>
      </c>
      <c r="K40" s="118">
        <f>'Financial Ratios Calculation'!J79/'Financial Ratios Calculation'!J84</f>
        <v>-14.876572765583392</v>
      </c>
      <c r="L40" s="118">
        <f>'Financial Ratios Calculation'!K79/'Financial Ratios Calculation'!K84</f>
        <v>0</v>
      </c>
      <c r="P40" s="351">
        <f t="shared" si="0"/>
        <v>0.19846527825373744</v>
      </c>
      <c r="Q40" s="351">
        <f t="shared" si="1"/>
        <v>-0.23422497403913745</v>
      </c>
      <c r="R40" s="351">
        <f t="shared" si="2"/>
        <v>-0.61942648884128482</v>
      </c>
      <c r="S40" s="351"/>
    </row>
    <row r="41" spans="5:19" ht="16">
      <c r="E41" s="117" t="s">
        <v>55</v>
      </c>
      <c r="F41" s="118" t="s">
        <v>56</v>
      </c>
      <c r="G41" s="332">
        <f>'Financial Ratios Calculation'!D77/'Financial Ratios Calculation'!D78</f>
        <v>6.8346666666666662</v>
      </c>
      <c r="H41" s="332">
        <f>'Financial Ratios Calculation'!E77/'Financial Ratios Calculation'!E78</f>
        <v>7.9323708206686927</v>
      </c>
      <c r="I41" s="332">
        <f>'Financial Ratios Calculation'!F77/'Financial Ratios Calculation'!F78</f>
        <v>5.5883023167489556</v>
      </c>
      <c r="J41" s="332">
        <f>'Financial Ratios Calculation'!I77/'Financial Ratios Calculation'!I78</f>
        <v>-0.53164905674292695</v>
      </c>
      <c r="K41" s="332">
        <f>'Financial Ratios Calculation'!J77/'Financial Ratios Calculation'!J78</f>
        <v>-0.54380804822976625</v>
      </c>
      <c r="L41" s="332">
        <f>'Financial Ratios Calculation'!K77/'Financial Ratios Calculation'!K78</f>
        <v>-0.16039507793564239</v>
      </c>
      <c r="P41" s="351">
        <f t="shared" si="0"/>
        <v>-0.13838285914998247</v>
      </c>
      <c r="Q41" s="351">
        <f t="shared" si="1"/>
        <v>0.41945985937343128</v>
      </c>
      <c r="R41" s="351">
        <f t="shared" si="2"/>
        <v>-2.2358976713235331E-2</v>
      </c>
      <c r="S41" s="351">
        <f t="shared" si="3"/>
        <v>2.3904285295335939</v>
      </c>
    </row>
    <row r="42" spans="5:19" ht="16">
      <c r="E42" s="117" t="s">
        <v>57</v>
      </c>
      <c r="F42" s="118" t="s">
        <v>58</v>
      </c>
      <c r="G42" s="123">
        <f>('Financial Ratios Calculation'!D24/'Financial Ratios Calculation'!D26)</f>
        <v>0.23359460444768501</v>
      </c>
      <c r="H42" s="123">
        <f>('Financial Ratios Calculation'!E24/'Financial Ratios Calculation'!E26)</f>
        <v>0.28204747173175904</v>
      </c>
      <c r="I42" s="123">
        <f>('Financial Ratios Calculation'!F24/'Financial Ratios Calculation'!F26)</f>
        <v>0.23252947311861943</v>
      </c>
      <c r="J42" s="123">
        <f>('Financial Ratios Calculation'!I24/'Financial Ratios Calculation'!I26)</f>
        <v>-0.33492074337250616</v>
      </c>
      <c r="K42" s="123">
        <f>('Financial Ratios Calculation'!J24/'Financial Ratios Calculation'!J26)</f>
        <v>-0.2159559143747278</v>
      </c>
      <c r="L42" s="123">
        <f>('Financial Ratios Calculation'!K24/'Financial Ratios Calculation'!K26)</f>
        <v>-0.10364023241318536</v>
      </c>
      <c r="P42" s="351">
        <f t="shared" si="0"/>
        <v>-0.17178975931454218</v>
      </c>
      <c r="Q42" s="351">
        <f t="shared" si="1"/>
        <v>0.21295364389304389</v>
      </c>
      <c r="R42" s="351">
        <f t="shared" si="2"/>
        <v>0.55087553097226116</v>
      </c>
      <c r="S42" s="351">
        <f t="shared" si="3"/>
        <v>1.0837073532773491</v>
      </c>
    </row>
    <row r="43" spans="5:19" ht="16">
      <c r="E43" s="117" t="s">
        <v>59</v>
      </c>
      <c r="F43" s="118" t="s">
        <v>60</v>
      </c>
      <c r="G43" s="123">
        <f>'Financial Ratios Calculation'!D24/'Financial Ratios Calculation'!D27</f>
        <v>9.574763312662106E-2</v>
      </c>
      <c r="H43" s="123">
        <f>'Financial Ratios Calculation'!E24/'Financial Ratios Calculation'!E27</f>
        <v>0.1147029414673274</v>
      </c>
      <c r="I43" s="123">
        <f>'Financial Ratios Calculation'!F24/'Financial Ratios Calculation'!F27</f>
        <v>8.4130959323933358E-2</v>
      </c>
      <c r="J43" s="123">
        <f>'Financial Ratios Calculation'!I24/'Financial Ratios Calculation'!I27</f>
        <v>-0.20373733889168283</v>
      </c>
      <c r="K43" s="123">
        <f>'Financial Ratios Calculation'!J24/'Financial Ratios Calculation'!J27</f>
        <v>-0.14189077649423876</v>
      </c>
      <c r="L43" s="123">
        <f>'Financial Ratios Calculation'!K24/'Financial Ratios Calculation'!K27</f>
        <v>-6.0091720253227655E-2</v>
      </c>
      <c r="P43" s="351">
        <f t="shared" si="0"/>
        <v>-0.1652556429523272</v>
      </c>
      <c r="Q43" s="351">
        <f t="shared" si="1"/>
        <v>0.36338563578814448</v>
      </c>
      <c r="R43" s="351">
        <f t="shared" si="2"/>
        <v>0.4358744375463704</v>
      </c>
      <c r="S43" s="351">
        <f t="shared" si="3"/>
        <v>1.3612367210708618</v>
      </c>
    </row>
    <row r="44" spans="5:19" ht="16">
      <c r="E44" s="117" t="s">
        <v>61</v>
      </c>
      <c r="F44" s="118" t="s">
        <v>62</v>
      </c>
      <c r="G44" s="332">
        <f>('Financial Ratios Calculation'!D80/'Financial Ratios Calculation'!D79)</f>
        <v>2.5191055759977356E-2</v>
      </c>
      <c r="H44" s="332">
        <f>('Financial Ratios Calculation'!E80/'Financial Ratios Calculation'!E79)</f>
        <v>2.4492897644239203E-2</v>
      </c>
      <c r="I44" s="332">
        <f>('Financial Ratios Calculation'!F80/'Financial Ratios Calculation'!F79)</f>
        <v>2.5289109162536537E-2</v>
      </c>
      <c r="J44" s="332">
        <f>('Financial Ratios Calculation'!I80/'Financial Ratios Calculation'!I79)</f>
        <v>0</v>
      </c>
      <c r="K44" s="332">
        <f>('Financial Ratios Calculation'!J80/'Financial Ratios Calculation'!J79)</f>
        <v>0</v>
      </c>
      <c r="L44" s="332" t="s">
        <v>49</v>
      </c>
      <c r="P44" s="351">
        <f t="shared" si="0"/>
        <v>2.850451285425435E-2</v>
      </c>
      <c r="Q44" s="351">
        <f t="shared" si="1"/>
        <v>-3.1484364007445823E-2</v>
      </c>
      <c r="R44" s="351"/>
      <c r="S44" s="351"/>
    </row>
    <row r="45" spans="5:19" ht="16">
      <c r="P45" s="351"/>
      <c r="Q45" s="351"/>
      <c r="R45" s="351"/>
      <c r="S45" s="351"/>
    </row>
    <row r="46" spans="5:19" ht="16">
      <c r="P46" s="351"/>
      <c r="Q46" s="351"/>
      <c r="R46" s="351"/>
      <c r="S46" s="351"/>
    </row>
    <row r="47" spans="5:19" ht="16">
      <c r="E47" s="352" t="s">
        <v>63</v>
      </c>
      <c r="F47" s="352"/>
      <c r="G47" s="352"/>
      <c r="H47" s="352"/>
      <c r="I47" s="352"/>
      <c r="J47" s="352"/>
      <c r="K47" s="352"/>
      <c r="L47" s="352"/>
      <c r="P47" s="351"/>
      <c r="Q47" s="351"/>
      <c r="R47" s="351"/>
      <c r="S47" s="351"/>
    </row>
    <row r="48" spans="5:19" ht="16">
      <c r="E48" s="353" t="s">
        <v>64</v>
      </c>
      <c r="F48" s="353" t="s">
        <v>4</v>
      </c>
      <c r="G48" s="355" t="s">
        <v>5</v>
      </c>
      <c r="H48" s="355"/>
      <c r="I48" s="355"/>
      <c r="J48" s="356" t="s">
        <v>6</v>
      </c>
      <c r="K48" s="356"/>
      <c r="L48" s="356"/>
      <c r="P48" s="351"/>
      <c r="Q48" s="351"/>
      <c r="R48" s="351"/>
      <c r="S48" s="351"/>
    </row>
    <row r="49" spans="5:19" ht="16">
      <c r="E49" s="353"/>
      <c r="F49" s="353"/>
      <c r="G49" s="116">
        <v>2022</v>
      </c>
      <c r="H49" s="116">
        <v>2021</v>
      </c>
      <c r="I49" s="116">
        <v>2020</v>
      </c>
      <c r="J49" s="116">
        <v>2022</v>
      </c>
      <c r="K49" s="116">
        <v>2021</v>
      </c>
      <c r="L49" s="116">
        <v>2020</v>
      </c>
      <c r="P49" s="351"/>
      <c r="Q49" s="351"/>
      <c r="R49" s="351"/>
      <c r="S49" s="351"/>
    </row>
    <row r="50" spans="5:19" ht="16">
      <c r="E50" s="354" t="s">
        <v>65</v>
      </c>
      <c r="F50" s="358"/>
      <c r="G50" s="358"/>
      <c r="H50" s="358"/>
      <c r="I50" s="358"/>
      <c r="J50" s="358"/>
      <c r="K50" s="358"/>
      <c r="L50" s="358"/>
      <c r="P50" s="351"/>
      <c r="Q50" s="351"/>
      <c r="R50" s="351"/>
      <c r="S50" s="351"/>
    </row>
    <row r="51" spans="5:19" ht="16">
      <c r="E51" s="335" t="s">
        <v>66</v>
      </c>
      <c r="F51" s="123" t="s">
        <v>67</v>
      </c>
      <c r="G51" s="123">
        <f>('Financial Ratios Calculation'!D21/'Financial Ratios Calculation'!D25)</f>
        <v>0.67360416249749855</v>
      </c>
      <c r="H51" s="123">
        <f>('Financial Ratios Calculation'!E21/'Financial Ratios Calculation'!E25)</f>
        <v>0.68163156491602239</v>
      </c>
      <c r="I51" s="123">
        <f>('Financial Ratios Calculation'!F21/'Financial Ratios Calculation'!F25)</f>
        <v>0.65699166908844331</v>
      </c>
      <c r="J51" s="123">
        <f>('Financial Ratios Calculation'!I21/'Financial Ratios Calculation'!I25)</f>
        <v>0.29432394604193834</v>
      </c>
      <c r="K51" s="123">
        <f>('Financial Ratios Calculation'!J21/'Financial Ratios Calculation'!J25)</f>
        <v>0.34261970443040557</v>
      </c>
      <c r="L51" s="123">
        <f>('Financial Ratios Calculation'!K21/'Financial Ratios Calculation'!K25)</f>
        <v>0.35902862352839393</v>
      </c>
      <c r="P51" s="351">
        <f t="shared" si="0"/>
        <v>-1.1776746899203277E-2</v>
      </c>
      <c r="Q51" s="351">
        <f t="shared" si="1"/>
        <v>3.750412217824043E-2</v>
      </c>
      <c r="R51" s="351">
        <f t="shared" si="2"/>
        <v>-0.14096024765638449</v>
      </c>
      <c r="S51" s="351">
        <f t="shared" si="3"/>
        <v>-4.5703651527078469E-2</v>
      </c>
    </row>
    <row r="52" spans="5:19" ht="16">
      <c r="E52" s="359" t="s">
        <v>29</v>
      </c>
      <c r="F52" s="359"/>
      <c r="G52" s="359"/>
      <c r="H52" s="359"/>
      <c r="I52" s="359"/>
      <c r="J52" s="359"/>
      <c r="K52" s="359"/>
      <c r="L52" s="359"/>
      <c r="P52" s="351"/>
      <c r="Q52" s="351"/>
      <c r="R52" s="351"/>
      <c r="S52" s="351"/>
    </row>
    <row r="53" spans="5:19" ht="16">
      <c r="E53" s="335" t="s">
        <v>68</v>
      </c>
      <c r="F53" s="123" t="s">
        <v>69</v>
      </c>
      <c r="G53" s="123">
        <f>('Financial Ratios Calculation'!D24/'Financial Ratios Calculation'!D25)</f>
        <v>0.18896601118565876</v>
      </c>
      <c r="H53" s="123">
        <f>('Financial Ratios Calculation'!E24/'Financial Ratios Calculation'!E25)</f>
        <v>0.22263929618768327</v>
      </c>
      <c r="I53" s="123">
        <f>('Financial Ratios Calculation'!F24/'Financial Ratios Calculation'!F25)</f>
        <v>0.17817010558946042</v>
      </c>
      <c r="J53" s="123">
        <f>('Financial Ratios Calculation'!I24/'Financial Ratios Calculation'!I25)</f>
        <v>-0.15628517046016113</v>
      </c>
      <c r="K53" s="123">
        <f>('Financial Ratios Calculation'!J24/'Financial Ratios Calculation'!J25)</f>
        <v>-0.12138815399244914</v>
      </c>
      <c r="L53" s="123">
        <f>('Financial Ratios Calculation'!K24/'Financial Ratios Calculation'!K25)</f>
        <v>-4.8136242937289117E-2</v>
      </c>
      <c r="P53" s="351">
        <f t="shared" si="0"/>
        <v>-0.15124591920034722</v>
      </c>
      <c r="Q53" s="351">
        <f t="shared" si="1"/>
        <v>0.24958839447897488</v>
      </c>
      <c r="R53" s="351">
        <f t="shared" si="2"/>
        <v>0.28748288296634567</v>
      </c>
      <c r="S53" s="351">
        <f t="shared" si="3"/>
        <v>1.521762119045956</v>
      </c>
    </row>
    <row r="54" spans="5:19" ht="16">
      <c r="P54" s="351"/>
      <c r="Q54" s="351"/>
      <c r="R54" s="351"/>
      <c r="S54" s="351"/>
    </row>
    <row r="55" spans="5:19" ht="16">
      <c r="P55" s="351"/>
      <c r="Q55" s="351"/>
      <c r="R55" s="351"/>
      <c r="S55" s="351"/>
    </row>
    <row r="56" spans="5:19" ht="16">
      <c r="E56" s="352" t="s">
        <v>70</v>
      </c>
      <c r="F56" s="352"/>
      <c r="G56" s="352"/>
      <c r="H56" s="352"/>
      <c r="I56" s="352"/>
      <c r="J56" s="352"/>
      <c r="K56" s="352"/>
      <c r="L56" s="352"/>
      <c r="P56" s="351"/>
      <c r="Q56" s="351"/>
      <c r="R56" s="351"/>
      <c r="S56" s="351"/>
    </row>
    <row r="57" spans="5:19" ht="16">
      <c r="E57" s="353" t="s">
        <v>71</v>
      </c>
      <c r="F57" s="353" t="s">
        <v>4</v>
      </c>
      <c r="G57" s="355" t="s">
        <v>5</v>
      </c>
      <c r="H57" s="355"/>
      <c r="I57" s="355"/>
      <c r="J57" s="356" t="s">
        <v>6</v>
      </c>
      <c r="K57" s="356"/>
      <c r="L57" s="356"/>
      <c r="P57" s="351"/>
      <c r="Q57" s="351"/>
      <c r="R57" s="351"/>
      <c r="S57" s="351"/>
    </row>
    <row r="58" spans="5:19" ht="16">
      <c r="E58" s="353"/>
      <c r="F58" s="353"/>
      <c r="G58" s="116">
        <v>2022</v>
      </c>
      <c r="H58" s="116">
        <v>2021</v>
      </c>
      <c r="I58" s="116">
        <v>2020</v>
      </c>
      <c r="J58" s="116">
        <v>2022</v>
      </c>
      <c r="K58" s="116">
        <v>2021</v>
      </c>
      <c r="L58" s="116">
        <v>2020</v>
      </c>
      <c r="P58" s="351"/>
      <c r="Q58" s="351"/>
      <c r="R58" s="351"/>
      <c r="S58" s="351"/>
    </row>
    <row r="59" spans="5:19" ht="16">
      <c r="E59" s="117" t="s">
        <v>9</v>
      </c>
      <c r="F59" s="118" t="s">
        <v>72</v>
      </c>
      <c r="G59" s="332">
        <f>'Financial Ratios Calculation'!D7/'Financial Ratios Calculation'!D8</f>
        <v>0.99089638364216337</v>
      </c>
      <c r="H59" s="332">
        <f>'Financial Ratios Calculation'!E7/'Financial Ratios Calculation'!E8</f>
        <v>1.3483173395834254</v>
      </c>
      <c r="I59" s="332">
        <f>'Financial Ratios Calculation'!F7/'Financial Ratios Calculation'!F8</f>
        <v>1.205775068834867</v>
      </c>
      <c r="J59" s="332">
        <f>'Financial Ratios Calculation'!I7/'Financial Ratios Calculation'!I8</f>
        <v>2.974944951242529</v>
      </c>
      <c r="K59" s="332">
        <f>'Financial Ratios Calculation'!J7/'Financial Ratios Calculation'!J8</f>
        <v>4.4102564102564106</v>
      </c>
      <c r="L59" s="332">
        <f>'Financial Ratios Calculation'!K7/'Financial Ratios Calculation'!K8</f>
        <v>3.2098575920103571</v>
      </c>
      <c r="P59" s="351">
        <f t="shared" si="0"/>
        <v>-0.26508667169680572</v>
      </c>
      <c r="Q59" s="351">
        <f t="shared" si="1"/>
        <v>0.11821630288499507</v>
      </c>
      <c r="R59" s="351">
        <f t="shared" si="2"/>
        <v>-0.32544852849733358</v>
      </c>
      <c r="S59" s="351">
        <f t="shared" si="3"/>
        <v>0.37397260901354656</v>
      </c>
    </row>
    <row r="60" spans="5:19" ht="16">
      <c r="E60" s="117" t="s">
        <v>73</v>
      </c>
      <c r="F60" s="118" t="s">
        <v>74</v>
      </c>
      <c r="G60" s="332">
        <f>'Financial Ratios Calculation'!D10/'Financial Ratios Calculation'!D8</f>
        <v>0.25316296906920899</v>
      </c>
      <c r="H60" s="332">
        <f>'Financial Ratios Calculation'!E10/'Financial Ratios Calculation'!E8</f>
        <v>0.32032459204882147</v>
      </c>
      <c r="I60" s="332">
        <f>'Financial Ratios Calculation'!F10/'Financial Ratios Calculation'!F8</f>
        <v>0.3291130303814746</v>
      </c>
      <c r="J60" s="332">
        <f>'Financial Ratios Calculation'!I10/'Financial Ratios Calculation'!I8</f>
        <v>0.14968543567159484</v>
      </c>
      <c r="K60" s="332">
        <f>'Financial Ratios Calculation'!J10/'Financial Ratios Calculation'!J8</f>
        <v>1.0477339769375167</v>
      </c>
      <c r="L60" s="332">
        <f>'Financial Ratios Calculation'!K10/'Financial Ratios Calculation'!K8</f>
        <v>0.5411318660995007</v>
      </c>
      <c r="P60" s="351">
        <f t="shared" si="0"/>
        <v>-0.20966739565651646</v>
      </c>
      <c r="Q60" s="351">
        <f t="shared" si="1"/>
        <v>-2.6703404366780818E-2</v>
      </c>
      <c r="R60" s="351">
        <f t="shared" si="2"/>
        <v>-0.85713412090622543</v>
      </c>
      <c r="S60" s="351">
        <f t="shared" si="3"/>
        <v>0.93618975812609873</v>
      </c>
    </row>
    <row r="61" spans="5:19" ht="16">
      <c r="E61" s="117" t="s">
        <v>11</v>
      </c>
      <c r="F61" s="118" t="s">
        <v>75</v>
      </c>
      <c r="G61" s="332">
        <f>('Financial Ratios Calculation'!D7-'Financial Ratios Calculation'!D9)/'Financial Ratios Calculation'!D8</f>
        <v>0.7671947242034336</v>
      </c>
      <c r="H61" s="332">
        <f>('Financial Ratios Calculation'!E7-'Financial Ratios Calculation'!E9)/'Financial Ratios Calculation'!E8</f>
        <v>1.1186485649847433</v>
      </c>
      <c r="I61" s="332">
        <f>('Financial Ratios Calculation'!F7-'Financial Ratios Calculation'!F9)/'Financial Ratios Calculation'!F8</f>
        <v>0.9858800272986139</v>
      </c>
      <c r="J61" s="332">
        <f>('Financial Ratios Calculation'!I7-'Financial Ratios Calculation'!I9)/'Financial Ratios Calculation'!I8</f>
        <v>1.1557565272098145</v>
      </c>
      <c r="K61" s="332">
        <f>('Financial Ratios Calculation'!J7-'Financial Ratios Calculation'!J9)/'Financial Ratios Calculation'!J8</f>
        <v>2.8493512387317699</v>
      </c>
      <c r="L61" s="332">
        <f>('Financial Ratios Calculation'!K7-'Financial Ratios Calculation'!K9)/'Financial Ratios Calculation'!K8</f>
        <v>1.7918993896800444</v>
      </c>
      <c r="P61" s="351">
        <f t="shared" si="0"/>
        <v>-0.31417717036637238</v>
      </c>
      <c r="Q61" s="351">
        <f t="shared" si="1"/>
        <v>0.13467007547553758</v>
      </c>
      <c r="R61" s="351">
        <f t="shared" si="2"/>
        <v>-0.5943790602227631</v>
      </c>
      <c r="S61" s="351">
        <f t="shared" si="3"/>
        <v>0.59012903020215923</v>
      </c>
    </row>
    <row r="62" spans="5:19" ht="16">
      <c r="P62" s="351"/>
      <c r="Q62" s="351"/>
      <c r="R62" s="351"/>
      <c r="S62" s="351"/>
    </row>
    <row r="63" spans="5:19" ht="16">
      <c r="P63" s="351"/>
      <c r="Q63" s="351"/>
      <c r="R63" s="351"/>
      <c r="S63" s="351"/>
    </row>
    <row r="64" spans="5:19" ht="16">
      <c r="E64" s="352" t="s">
        <v>76</v>
      </c>
      <c r="F64" s="352"/>
      <c r="G64" s="352"/>
      <c r="H64" s="352"/>
      <c r="I64" s="352"/>
      <c r="J64" s="352"/>
      <c r="K64" s="352"/>
      <c r="L64" s="352"/>
      <c r="P64" s="351"/>
      <c r="Q64" s="351"/>
      <c r="R64" s="351"/>
      <c r="S64" s="351"/>
    </row>
    <row r="65" spans="5:19" ht="16">
      <c r="E65" s="353" t="s">
        <v>77</v>
      </c>
      <c r="F65" s="353" t="s">
        <v>4</v>
      </c>
      <c r="G65" s="355" t="s">
        <v>5</v>
      </c>
      <c r="H65" s="355"/>
      <c r="I65" s="355"/>
      <c r="J65" s="356" t="s">
        <v>6</v>
      </c>
      <c r="K65" s="356"/>
      <c r="L65" s="356"/>
      <c r="P65" s="351"/>
      <c r="Q65" s="351"/>
      <c r="R65" s="351"/>
      <c r="S65" s="351"/>
    </row>
    <row r="66" spans="5:19" ht="16">
      <c r="E66" s="353"/>
      <c r="F66" s="353"/>
      <c r="G66" s="116">
        <v>2022</v>
      </c>
      <c r="H66" s="116">
        <v>2021</v>
      </c>
      <c r="I66" s="116">
        <v>2020</v>
      </c>
      <c r="J66" s="116">
        <v>2022</v>
      </c>
      <c r="K66" s="116">
        <v>2021</v>
      </c>
      <c r="L66" s="116">
        <v>2020</v>
      </c>
      <c r="P66" s="351"/>
      <c r="Q66" s="351"/>
      <c r="R66" s="351"/>
      <c r="S66" s="351"/>
    </row>
    <row r="67" spans="5:19" ht="16">
      <c r="E67" s="354" t="s">
        <v>78</v>
      </c>
      <c r="F67" s="354"/>
      <c r="G67" s="354"/>
      <c r="H67" s="354"/>
      <c r="I67" s="354"/>
      <c r="J67" s="354"/>
      <c r="K67" s="354"/>
      <c r="L67" s="354"/>
      <c r="P67" s="351"/>
      <c r="Q67" s="351"/>
      <c r="R67" s="351"/>
      <c r="S67" s="351"/>
    </row>
    <row r="68" spans="5:19" ht="16">
      <c r="F68" s="118" t="s">
        <v>79</v>
      </c>
      <c r="G68" s="118">
        <f>'Financia Data - J&amp;J'!L69/'Trend Analysis Calculation'!C47</f>
        <v>0.19195614811728556</v>
      </c>
      <c r="H68" s="118">
        <f>'Financia Data - J&amp;J'!M69/'Trend Analysis Calculation'!D47</f>
        <v>0.22153925131378086</v>
      </c>
      <c r="I68" s="118">
        <f>'Financia Data - J&amp;J'!N69/'Trend Analysis Calculation'!E47</f>
        <v>0.29240810392237426</v>
      </c>
      <c r="J68" s="118" t="s">
        <v>49</v>
      </c>
      <c r="K68" s="118" t="s">
        <v>49</v>
      </c>
      <c r="L68" s="118" t="s">
        <v>49</v>
      </c>
      <c r="P68" s="351">
        <f t="shared" si="0"/>
        <v>-0.13353436477310635</v>
      </c>
      <c r="Q68" s="351">
        <f t="shared" si="1"/>
        <v>-0.24236281983281491</v>
      </c>
      <c r="R68" s="351"/>
      <c r="S68" s="351"/>
    </row>
    <row r="69" spans="5:19" ht="16">
      <c r="F69" s="118" t="s">
        <v>80</v>
      </c>
      <c r="G69" s="118">
        <f>'Trend Analysis Calculation'!C31/'Trend Analysis Calculation'!C47</f>
        <v>0.35008593302432167</v>
      </c>
      <c r="H69" s="118">
        <f>'Trend Analysis Calculation'!D31/'Trend Analysis Calculation'!D47</f>
        <v>0.40507680045391298</v>
      </c>
      <c r="I69" s="118">
        <f>'Trend Analysis Calculation'!E31/'Trend Analysis Calculation'!E47</f>
        <v>0.5157400676380417</v>
      </c>
      <c r="J69" s="118" t="s">
        <v>49</v>
      </c>
      <c r="K69" s="118" t="s">
        <v>49</v>
      </c>
      <c r="L69" s="118" t="s">
        <v>49</v>
      </c>
      <c r="P69" s="351">
        <f t="shared" si="0"/>
        <v>-0.13575417641289436</v>
      </c>
      <c r="Q69" s="351">
        <f t="shared" si="1"/>
        <v>-0.21457178553324027</v>
      </c>
      <c r="R69" s="351"/>
      <c r="S69" s="351"/>
    </row>
    <row r="70" spans="5:19" ht="16">
      <c r="F70" s="118" t="s">
        <v>81</v>
      </c>
      <c r="G70" s="118">
        <f>'Financial Ratios Calculation'!D45/'Financial Ratios Calculation'!D46</f>
        <v>0.51636633508671426</v>
      </c>
      <c r="H70" s="118">
        <f>'Financial Ratios Calculation'!E45/'Financial Ratios Calculation'!E46</f>
        <v>0.45595287951042246</v>
      </c>
      <c r="I70" s="118">
        <f>'Financial Ratios Calculation'!F45/'Financial Ratios Calculation'!F46</f>
        <v>0.55731849932045896</v>
      </c>
      <c r="J70" s="118">
        <f>'Financial Ratios Calculation'!I45/'Financial Ratios Calculation'!I46</f>
        <v>0.68324678874009293</v>
      </c>
      <c r="K70" s="118"/>
      <c r="L70" s="118"/>
      <c r="P70" s="351">
        <f t="shared" si="0"/>
        <v>0.13249933993433816</v>
      </c>
      <c r="Q70" s="351">
        <f t="shared" si="1"/>
        <v>-0.18188095305221713</v>
      </c>
      <c r="R70" s="351"/>
      <c r="S70" s="351"/>
    </row>
    <row r="71" spans="5:19" ht="16">
      <c r="F71" s="119"/>
      <c r="G71" s="119"/>
      <c r="H71" s="119"/>
      <c r="I71" s="119"/>
      <c r="J71" s="119"/>
      <c r="K71" s="119"/>
      <c r="L71" s="119"/>
      <c r="P71" s="351"/>
      <c r="Q71" s="351"/>
      <c r="R71" s="351"/>
      <c r="S71" s="351"/>
    </row>
    <row r="72" spans="5:19" ht="16">
      <c r="F72" s="119"/>
      <c r="G72" s="119"/>
      <c r="H72" s="119"/>
      <c r="I72" s="119"/>
      <c r="J72" s="119"/>
      <c r="K72" s="119"/>
      <c r="L72" s="119"/>
      <c r="P72" s="351"/>
      <c r="Q72" s="351"/>
      <c r="R72" s="351"/>
      <c r="S72" s="351"/>
    </row>
    <row r="73" spans="5:19" ht="16">
      <c r="E73" s="352" t="s">
        <v>82</v>
      </c>
      <c r="F73" s="352"/>
      <c r="G73" s="352"/>
      <c r="H73" s="352"/>
      <c r="I73" s="352"/>
      <c r="J73" s="352"/>
      <c r="K73" s="352"/>
      <c r="L73" s="352"/>
      <c r="P73" s="351"/>
      <c r="Q73" s="351"/>
      <c r="R73" s="351"/>
      <c r="S73" s="351"/>
    </row>
    <row r="74" spans="5:19" ht="16">
      <c r="E74" s="353" t="s">
        <v>83</v>
      </c>
      <c r="F74" s="353" t="s">
        <v>4</v>
      </c>
      <c r="G74" s="355" t="s">
        <v>5</v>
      </c>
      <c r="H74" s="355"/>
      <c r="I74" s="355"/>
      <c r="J74" s="356" t="s">
        <v>6</v>
      </c>
      <c r="K74" s="356"/>
      <c r="L74" s="356"/>
      <c r="P74" s="351"/>
      <c r="Q74" s="351"/>
      <c r="R74" s="351"/>
      <c r="S74" s="351"/>
    </row>
    <row r="75" spans="5:19" ht="16">
      <c r="E75" s="353"/>
      <c r="F75" s="353"/>
      <c r="G75" s="116">
        <v>2022</v>
      </c>
      <c r="H75" s="116">
        <v>2021</v>
      </c>
      <c r="I75" s="116">
        <v>2020</v>
      </c>
      <c r="J75" s="116">
        <v>2022</v>
      </c>
      <c r="K75" s="116">
        <v>2021</v>
      </c>
      <c r="L75" s="116">
        <v>2020</v>
      </c>
      <c r="P75" s="351"/>
      <c r="Q75" s="351"/>
      <c r="R75" s="351"/>
      <c r="S75" s="351"/>
    </row>
    <row r="76" spans="5:19" ht="16">
      <c r="E76" s="117" t="s">
        <v>84</v>
      </c>
      <c r="F76" s="118" t="s">
        <v>85</v>
      </c>
      <c r="G76" s="118">
        <f>'Financial Ratios Calculation'!D25/'Financial Ratios Calculation'!D27</f>
        <v>0.50669235449198946</v>
      </c>
      <c r="H76" s="118">
        <f>'Financial Ratios Calculation'!E25/'Financial Ratios Calculation'!E27</f>
        <v>0.51519629926710542</v>
      </c>
      <c r="I76" s="118">
        <f>'Financial Ratios Calculation'!F25/'Financial Ratios Calculation'!F27</f>
        <v>0.47219458643521217</v>
      </c>
      <c r="J76" s="118">
        <f>'Financial Ratios Calculation'!I25/'Financial Ratios Calculation'!I27</f>
        <v>1.3036255346032195</v>
      </c>
      <c r="K76" s="118">
        <f>'Financial Ratios Calculation'!J25/'Financial Ratios Calculation'!J27</f>
        <v>1.1689013452092283</v>
      </c>
      <c r="L76" s="118">
        <f>'Financial Ratios Calculation'!K25/'Financial Ratios Calculation'!K27</f>
        <v>1.2483674791884751</v>
      </c>
      <c r="P76" s="351">
        <f t="shared" ref="P76:P134" si="5">(G76-H76)/H76</f>
        <v>-1.6506222554807319E-2</v>
      </c>
      <c r="Q76" s="351">
        <f t="shared" ref="Q76:Q134" si="6">(H76-I76)/I76</f>
        <v>9.1067780248245883E-2</v>
      </c>
      <c r="R76" s="351">
        <f t="shared" ref="R76:R134" si="7">(J76-K76)/K76</f>
        <v>0.11525710869113268</v>
      </c>
      <c r="S76" s="351">
        <f t="shared" ref="S76:S134" si="8">(K76-L76)/L76</f>
        <v>-6.36560430354252E-2</v>
      </c>
    </row>
    <row r="77" spans="5:19" ht="16">
      <c r="E77" s="117" t="s">
        <v>86</v>
      </c>
      <c r="F77" s="118" t="s">
        <v>87</v>
      </c>
      <c r="G77" s="332">
        <f>'Financial Ratios Calculation'!D25/'Financial Ratios Calculation'!D7</f>
        <v>1.7170579086338482</v>
      </c>
      <c r="H77" s="332">
        <f>'Financial Ratios Calculation'!E25/'Financial Ratios Calculation'!E7</f>
        <v>1.5378244969579691</v>
      </c>
      <c r="I77" s="332">
        <f>'Financial Ratios Calculation'!F25/'Financial Ratios Calculation'!F7</f>
        <v>1.6118039697874582</v>
      </c>
      <c r="J77" s="332" t="s">
        <v>49</v>
      </c>
      <c r="K77" s="332" t="s">
        <v>49</v>
      </c>
      <c r="L77" s="332" t="s">
        <v>49</v>
      </c>
      <c r="P77" s="351">
        <f t="shared" si="5"/>
        <v>0.11654997825202276</v>
      </c>
      <c r="Q77" s="351">
        <f t="shared" si="6"/>
        <v>-4.5898554797110032E-2</v>
      </c>
      <c r="R77" s="351"/>
      <c r="S77" s="351"/>
    </row>
    <row r="78" spans="5:19" ht="16">
      <c r="E78" s="117" t="s">
        <v>88</v>
      </c>
      <c r="F78" s="118" t="s">
        <v>89</v>
      </c>
      <c r="G78" s="332">
        <f>'Financial Ratios Calculation'!D25/'Financial Ratios Calculation'!D62</f>
        <v>5.8751856435643566</v>
      </c>
      <c r="H78" s="332">
        <f>'Financial Ratios Calculation'!E25/'Financial Ratios Calculation'!E62</f>
        <v>6.1359026369168355</v>
      </c>
      <c r="I78" s="332">
        <f>'Financial Ratios Calculation'!F25/'Financial Ratios Calculation'!F62</f>
        <v>6.0830878020035355</v>
      </c>
      <c r="J78" s="332">
        <f>'Financial Ratios Calculation'!I25/'Financial Ratios Calculation'!I62</f>
        <v>7.4089620635895495</v>
      </c>
      <c r="K78" s="332">
        <f>'Financial Ratios Calculation'!J25/'Financial Ratios Calculation'!J62</f>
        <v>10.025138434432419</v>
      </c>
      <c r="L78" s="332">
        <f>'Financial Ratios Calculation'!K25/'Financial Ratios Calculation'!K62</f>
        <v>13.183680631717483</v>
      </c>
      <c r="P78" s="351">
        <f t="shared" si="5"/>
        <v>-4.2490405858767635E-2</v>
      </c>
      <c r="Q78" s="351">
        <f t="shared" si="6"/>
        <v>8.682241097342832E-3</v>
      </c>
      <c r="R78" s="351">
        <f t="shared" si="7"/>
        <v>-0.2609616204258417</v>
      </c>
      <c r="S78" s="351">
        <f t="shared" si="8"/>
        <v>-0.23957969595275228</v>
      </c>
    </row>
    <row r="79" spans="5:19" ht="16">
      <c r="E79" s="117" t="s">
        <v>90</v>
      </c>
      <c r="F79" s="118" t="s">
        <v>91</v>
      </c>
      <c r="G79" s="332">
        <f>'Trend Analysis Calculation'!Z8/'Trend Analysis Calculation'!C12</f>
        <v>-2.490507089641913</v>
      </c>
      <c r="H79" s="332">
        <f>'Trend Analysis Calculation'!AA8/'Trend Analysis Calculation'!D12</f>
        <v>-2.874265909309714</v>
      </c>
      <c r="I79" s="332">
        <f>'Trend Analysis Calculation'!AB8/'Trend Analysis Calculation'!E12</f>
        <v>-3.0422731164383561</v>
      </c>
      <c r="J79" s="332">
        <f>'Trend Analysis Calculation'!AK8/'Trend Analysis Calculation'!N13</f>
        <v>-1.9136118411951861</v>
      </c>
      <c r="K79" s="332">
        <f>'Trend Analysis Calculation'!AL8/'Trend Analysis Calculation'!O13</f>
        <v>-2.768237564095787</v>
      </c>
      <c r="L79" s="332">
        <f>'Trend Analysis Calculation'!AM8/'Trend Analysis Calculation'!P13</f>
        <v>-2.5124365780171907</v>
      </c>
      <c r="P79" s="351">
        <f t="shared" si="5"/>
        <v>-0.13351541985896664</v>
      </c>
      <c r="Q79" s="351">
        <f t="shared" si="6"/>
        <v>-5.5224235529955014E-2</v>
      </c>
      <c r="R79" s="351">
        <f t="shared" si="7"/>
        <v>-0.3087255710944572</v>
      </c>
      <c r="S79" s="351">
        <f t="shared" si="8"/>
        <v>0.10181390778846004</v>
      </c>
    </row>
    <row r="80" spans="5:19" ht="16">
      <c r="F80" s="119"/>
      <c r="G80" s="119"/>
      <c r="H80" s="119"/>
      <c r="I80" s="119"/>
      <c r="J80" s="119"/>
      <c r="K80" s="119"/>
      <c r="L80" s="119"/>
      <c r="P80" s="351"/>
      <c r="Q80" s="351"/>
      <c r="R80" s="351"/>
      <c r="S80" s="351"/>
    </row>
    <row r="81" spans="5:19" ht="16">
      <c r="F81" s="119"/>
      <c r="G81" s="119"/>
      <c r="H81" s="119"/>
      <c r="I81" s="119"/>
      <c r="J81" s="119"/>
      <c r="K81" s="119"/>
      <c r="L81" s="119"/>
      <c r="P81" s="351"/>
      <c r="Q81" s="351"/>
      <c r="R81" s="351"/>
      <c r="S81" s="351"/>
    </row>
    <row r="82" spans="5:19" ht="16">
      <c r="E82" s="352" t="s">
        <v>92</v>
      </c>
      <c r="F82" s="352"/>
      <c r="G82" s="352"/>
      <c r="H82" s="352"/>
      <c r="I82" s="352"/>
      <c r="J82" s="352"/>
      <c r="K82" s="352"/>
      <c r="L82" s="352"/>
      <c r="P82" s="351"/>
      <c r="Q82" s="351"/>
      <c r="R82" s="351"/>
      <c r="S82" s="351"/>
    </row>
    <row r="83" spans="5:19" ht="16">
      <c r="E83" s="353" t="s">
        <v>93</v>
      </c>
      <c r="F83" s="353" t="s">
        <v>4</v>
      </c>
      <c r="G83" s="355" t="s">
        <v>5</v>
      </c>
      <c r="H83" s="355"/>
      <c r="I83" s="355"/>
      <c r="J83" s="356" t="s">
        <v>6</v>
      </c>
      <c r="K83" s="356"/>
      <c r="L83" s="356"/>
      <c r="P83" s="351"/>
      <c r="Q83" s="351"/>
      <c r="R83" s="351"/>
      <c r="S83" s="351"/>
    </row>
    <row r="84" spans="5:19" ht="16">
      <c r="E84" s="353"/>
      <c r="F84" s="353"/>
      <c r="G84" s="116">
        <v>2022</v>
      </c>
      <c r="H84" s="116">
        <v>2021</v>
      </c>
      <c r="I84" s="116">
        <v>2020</v>
      </c>
      <c r="J84" s="116">
        <v>2022</v>
      </c>
      <c r="K84" s="116">
        <v>2021</v>
      </c>
      <c r="L84" s="116">
        <v>2020</v>
      </c>
      <c r="P84" s="351"/>
      <c r="Q84" s="351"/>
      <c r="R84" s="351"/>
      <c r="S84" s="351"/>
    </row>
    <row r="85" spans="5:19" ht="16">
      <c r="E85" s="117" t="s">
        <v>94</v>
      </c>
      <c r="F85" s="118" t="s">
        <v>54</v>
      </c>
      <c r="G85" s="118">
        <f>'Financial Ratios Calculation'!D79/'Financial Ratios Calculation'!D84</f>
        <v>25.846176355833009</v>
      </c>
      <c r="H85" s="118">
        <f>'Financial Ratios Calculation'!E79/'Financial Ratios Calculation'!E84</f>
        <v>21.566061883322156</v>
      </c>
      <c r="I85" s="118">
        <f>'Financial Ratios Calculation'!F79/'Financial Ratios Calculation'!F84</f>
        <v>28.162399075710209</v>
      </c>
      <c r="J85" s="118">
        <f>'Financial Ratios Calculation'!I79/'Financial Ratios Calculation'!I84</f>
        <v>-5.6616295314061889</v>
      </c>
      <c r="K85" s="118">
        <f>'Financial Ratios Calculation'!J79/'Financial Ratios Calculation'!J84</f>
        <v>-14.876572765583392</v>
      </c>
      <c r="L85" s="118">
        <f>'Financial Ratios Calculation'!K79/'Financial Ratios Calculation'!K84</f>
        <v>0</v>
      </c>
      <c r="P85" s="351">
        <f t="shared" si="5"/>
        <v>0.19846527825373744</v>
      </c>
      <c r="Q85" s="351">
        <f t="shared" si="6"/>
        <v>-0.23422497403913745</v>
      </c>
      <c r="R85" s="351">
        <f t="shared" si="7"/>
        <v>-0.61942648884128482</v>
      </c>
      <c r="S85" s="351"/>
    </row>
    <row r="86" spans="5:19" ht="16">
      <c r="E86" s="117" t="s">
        <v>95</v>
      </c>
      <c r="F86" s="118" t="s">
        <v>96</v>
      </c>
      <c r="G86" s="332">
        <f>'Financial Ratios Calculation'!D80/'Financial Ratios Calculation'!D79</f>
        <v>2.5191055759977356E-2</v>
      </c>
      <c r="H86" s="332">
        <f>'Financial Ratios Calculation'!E80/'Financial Ratios Calculation'!E79</f>
        <v>2.4492897644239203E-2</v>
      </c>
      <c r="I86" s="332">
        <f>'Financial Ratios Calculation'!F80/'Financial Ratios Calculation'!F79</f>
        <v>2.5289109162536537E-2</v>
      </c>
      <c r="J86" s="332">
        <f>'Financial Ratios Calculation'!I80/'Financial Ratios Calculation'!I79</f>
        <v>0</v>
      </c>
      <c r="K86" s="332">
        <f>'Financial Ratios Calculation'!J80/'Financial Ratios Calculation'!J79</f>
        <v>0</v>
      </c>
      <c r="L86" s="332" t="s">
        <v>49</v>
      </c>
      <c r="P86" s="351">
        <f t="shared" si="5"/>
        <v>2.850451285425435E-2</v>
      </c>
      <c r="Q86" s="351">
        <f t="shared" si="6"/>
        <v>-3.1484364007445823E-2</v>
      </c>
      <c r="R86" s="351"/>
      <c r="S86" s="351"/>
    </row>
    <row r="87" spans="5:19" ht="16">
      <c r="E87" s="117" t="s">
        <v>97</v>
      </c>
      <c r="F87" s="118"/>
      <c r="G87" s="332">
        <f>'Financial Ratios Calculation'!D79</f>
        <v>176.65</v>
      </c>
      <c r="H87" s="332">
        <f>'Financial Ratios Calculation'!E79</f>
        <v>171.07</v>
      </c>
      <c r="I87" s="332">
        <f>'Financial Ratios Calculation'!F79</f>
        <v>157.38</v>
      </c>
      <c r="J87" s="332">
        <f>'Financial Ratios Calculation'!I79</f>
        <v>3.01</v>
      </c>
      <c r="K87" s="332">
        <f>'Financial Ratios Calculation'!J79</f>
        <v>8.09</v>
      </c>
      <c r="L87" s="332">
        <f>'Financial Ratios Calculation'!K79</f>
        <v>0</v>
      </c>
      <c r="P87" s="351">
        <f t="shared" si="5"/>
        <v>3.2618226457005982E-2</v>
      </c>
      <c r="Q87" s="351">
        <f t="shared" si="6"/>
        <v>8.6986910662091743E-2</v>
      </c>
      <c r="R87" s="351">
        <f t="shared" si="7"/>
        <v>-0.62793572311495671</v>
      </c>
      <c r="S87" s="351"/>
    </row>
    <row r="88" spans="5:19" ht="16">
      <c r="E88" s="117" t="s">
        <v>45</v>
      </c>
      <c r="F88" s="118" t="s">
        <v>98</v>
      </c>
      <c r="G88" s="332">
        <f>'Financial Ratios Calculation'!D84</f>
        <v>6.8346666666666662</v>
      </c>
      <c r="H88" s="332">
        <f>'Financial Ratios Calculation'!E84</f>
        <v>7.9323708206686927</v>
      </c>
      <c r="I88" s="332">
        <f>'Financial Ratios Calculation'!F84</f>
        <v>5.5883023167489556</v>
      </c>
      <c r="J88" s="332">
        <f>'Financial Ratios Calculation'!I84</f>
        <v>-0.53164905674292695</v>
      </c>
      <c r="K88" s="332">
        <f>'Financial Ratios Calculation'!J84</f>
        <v>-0.54380804822976625</v>
      </c>
      <c r="L88" s="332">
        <f>'Financial Ratios Calculation'!K84</f>
        <v>-0.16039507793564239</v>
      </c>
      <c r="P88" s="351">
        <f t="shared" si="5"/>
        <v>-0.13838285914998247</v>
      </c>
      <c r="Q88" s="351">
        <f t="shared" si="6"/>
        <v>0.41945985937343128</v>
      </c>
      <c r="R88" s="351">
        <f t="shared" si="7"/>
        <v>-2.2358976713235331E-2</v>
      </c>
      <c r="S88" s="351">
        <f t="shared" si="8"/>
        <v>2.3904285295335939</v>
      </c>
    </row>
    <row r="89" spans="5:19" ht="16">
      <c r="E89" s="117" t="s">
        <v>99</v>
      </c>
      <c r="F89" s="118" t="s">
        <v>100</v>
      </c>
      <c r="G89" s="118">
        <f>'Financial Ratios Calculation'!D80</f>
        <v>4.45</v>
      </c>
      <c r="H89" s="118">
        <f>'Financial Ratios Calculation'!E80</f>
        <v>4.1900000000000004</v>
      </c>
      <c r="I89" s="118">
        <f>'Financial Ratios Calculation'!F80</f>
        <v>3.98</v>
      </c>
      <c r="J89" s="118">
        <f>'Financial Ratios Calculation'!I80</f>
        <v>0</v>
      </c>
      <c r="K89" s="118">
        <f>'Financial Ratios Calculation'!J80</f>
        <v>0</v>
      </c>
      <c r="L89" s="118">
        <f>'Financial Ratios Calculation'!K80</f>
        <v>0</v>
      </c>
      <c r="P89" s="351">
        <f t="shared" si="5"/>
        <v>6.2052505966587054E-2</v>
      </c>
      <c r="Q89" s="351">
        <f t="shared" si="6"/>
        <v>5.276381909547749E-2</v>
      </c>
      <c r="R89" s="351"/>
      <c r="S89" s="351"/>
    </row>
    <row r="90" spans="5:19" ht="16">
      <c r="E90" s="117" t="s">
        <v>101</v>
      </c>
      <c r="F90" s="118"/>
      <c r="G90" s="332">
        <f>'Financial Ratios Calculation'!D24</f>
        <v>17941</v>
      </c>
      <c r="H90" s="332">
        <f>'Financial Ratios Calculation'!E24</f>
        <v>20878</v>
      </c>
      <c r="I90" s="332">
        <f>'Financial Ratios Calculation'!F24</f>
        <v>14714</v>
      </c>
      <c r="J90" s="332">
        <f>'Financial Ratios Calculation'!I24</f>
        <v>-49019</v>
      </c>
      <c r="K90" s="332">
        <f>'Financial Ratios Calculation'!J24</f>
        <v>-38679</v>
      </c>
      <c r="L90" s="332">
        <f>'Financial Ratios Calculation'!K24</f>
        <v>-14466</v>
      </c>
      <c r="P90" s="351">
        <f t="shared" si="5"/>
        <v>-0.14067439409905164</v>
      </c>
      <c r="Q90" s="351">
        <f t="shared" si="6"/>
        <v>0.41892075574282994</v>
      </c>
      <c r="R90" s="351">
        <f t="shared" si="7"/>
        <v>0.26732852452235062</v>
      </c>
      <c r="S90" s="351">
        <f t="shared" si="8"/>
        <v>1.6737868104520945</v>
      </c>
    </row>
    <row r="91" spans="5:19" ht="16">
      <c r="E91" s="117" t="s">
        <v>102</v>
      </c>
      <c r="F91" s="118" t="s">
        <v>103</v>
      </c>
      <c r="G91" s="332">
        <f>'Trend Analysis Calculation'!Z23</f>
        <v>2625.2</v>
      </c>
      <c r="H91" s="332">
        <f>'Trend Analysis Calculation'!AA23</f>
        <v>2632.1</v>
      </c>
      <c r="I91" s="332">
        <f>'Trend Analysis Calculation'!AB23</f>
        <v>2632.8</v>
      </c>
      <c r="J91" s="332">
        <f>'Trend Analysis Calculation'!AK23</f>
        <v>92202</v>
      </c>
      <c r="K91" s="332">
        <f>'Trend Analysis Calculation'!AL23</f>
        <v>71126</v>
      </c>
      <c r="L91" s="332">
        <f>'Trend Analysis Calculation'!AM23</f>
        <v>86192</v>
      </c>
      <c r="P91" s="351">
        <f t="shared" si="5"/>
        <v>-2.6214809467725738E-3</v>
      </c>
      <c r="Q91" s="351">
        <f t="shared" si="6"/>
        <v>-2.6587663324227927E-4</v>
      </c>
      <c r="R91" s="351">
        <f t="shared" si="7"/>
        <v>0.29631920816579027</v>
      </c>
      <c r="S91" s="351">
        <f t="shared" si="8"/>
        <v>-0.17479580471505476</v>
      </c>
    </row>
    <row r="92" spans="5:19" ht="16">
      <c r="E92" s="117" t="s">
        <v>104</v>
      </c>
      <c r="F92" s="118"/>
      <c r="G92" s="332">
        <f>'Stock Valuation - 2Y'!K6</f>
        <v>176.65</v>
      </c>
      <c r="H92" s="332">
        <f>'Stock Valuation - 2Y'!K7</f>
        <v>171.07</v>
      </c>
      <c r="I92" s="332">
        <f>'Stock Valuation - 2Y'!K8</f>
        <v>157.38</v>
      </c>
      <c r="J92" s="332">
        <f>'Stock Valuation - 2Y'!N6</f>
        <v>3.01</v>
      </c>
      <c r="K92" s="332">
        <f>'Stock Valuation - 2Y'!N7</f>
        <v>8.09</v>
      </c>
      <c r="L92" s="332">
        <f>'Stock Valuation - 2Y'!N8</f>
        <v>0</v>
      </c>
      <c r="P92" s="351">
        <f t="shared" si="5"/>
        <v>3.2618226457005982E-2</v>
      </c>
      <c r="Q92" s="351">
        <f t="shared" si="6"/>
        <v>8.6986910662091743E-2</v>
      </c>
      <c r="R92" s="351">
        <f t="shared" si="7"/>
        <v>-0.62793572311495671</v>
      </c>
      <c r="S92" s="351"/>
    </row>
    <row r="93" spans="5:19" ht="16">
      <c r="E93" s="117" t="s">
        <v>105</v>
      </c>
      <c r="F93" s="118"/>
      <c r="G93" s="332">
        <f>'Financial Ratios Calculation'!D80</f>
        <v>4.45</v>
      </c>
      <c r="H93" s="332">
        <f>'Financial Ratios Calculation'!E80</f>
        <v>4.1900000000000004</v>
      </c>
      <c r="I93" s="332">
        <f>'Financial Ratios Calculation'!F80</f>
        <v>3.98</v>
      </c>
      <c r="J93" s="332">
        <f>'Financial Ratios Calculation'!I80</f>
        <v>0</v>
      </c>
      <c r="K93" s="332">
        <f>'Financial Ratios Calculation'!J80</f>
        <v>0</v>
      </c>
      <c r="L93" s="332">
        <f>'Financial Ratios Calculation'!K80</f>
        <v>0</v>
      </c>
      <c r="P93" s="351">
        <f t="shared" si="5"/>
        <v>6.2052505966587054E-2</v>
      </c>
      <c r="Q93" s="351">
        <f t="shared" si="6"/>
        <v>5.276381909547749E-2</v>
      </c>
      <c r="R93" s="351"/>
      <c r="S93" s="351"/>
    </row>
    <row r="94" spans="5:19" ht="16">
      <c r="P94" s="351"/>
      <c r="Q94" s="351"/>
      <c r="R94" s="351"/>
      <c r="S94" s="351"/>
    </row>
    <row r="95" spans="5:19" ht="16">
      <c r="P95" s="351"/>
      <c r="Q95" s="351"/>
      <c r="R95" s="351"/>
      <c r="S95" s="351"/>
    </row>
    <row r="96" spans="5:19" ht="16">
      <c r="E96" s="352" t="s">
        <v>106</v>
      </c>
      <c r="F96" s="352"/>
      <c r="G96" s="352"/>
      <c r="H96" s="352"/>
      <c r="I96" s="352"/>
      <c r="J96" s="352"/>
      <c r="K96" s="352"/>
      <c r="L96" s="352"/>
      <c r="P96" s="351"/>
      <c r="Q96" s="351"/>
      <c r="R96" s="351"/>
      <c r="S96" s="351"/>
    </row>
    <row r="97" spans="5:19" ht="16">
      <c r="E97" s="353" t="s">
        <v>107</v>
      </c>
      <c r="F97" s="353" t="s">
        <v>4</v>
      </c>
      <c r="G97" s="355" t="s">
        <v>5</v>
      </c>
      <c r="H97" s="355"/>
      <c r="I97" s="355"/>
      <c r="J97" s="356" t="s">
        <v>6</v>
      </c>
      <c r="K97" s="356"/>
      <c r="L97" s="356"/>
      <c r="P97" s="351"/>
      <c r="Q97" s="351"/>
      <c r="R97" s="351"/>
      <c r="S97" s="351"/>
    </row>
    <row r="98" spans="5:19" ht="16">
      <c r="E98" s="353"/>
      <c r="F98" s="353"/>
      <c r="G98" s="116">
        <v>2022</v>
      </c>
      <c r="H98" s="116">
        <v>2021</v>
      </c>
      <c r="I98" s="116">
        <v>2020</v>
      </c>
      <c r="J98" s="116">
        <v>2022</v>
      </c>
      <c r="K98" s="116">
        <v>2021</v>
      </c>
      <c r="L98" s="116">
        <v>2020</v>
      </c>
      <c r="P98" s="351"/>
      <c r="Q98" s="351"/>
      <c r="R98" s="351"/>
      <c r="S98" s="351"/>
    </row>
    <row r="99" spans="5:19" ht="16">
      <c r="E99" s="357" t="s">
        <v>108</v>
      </c>
      <c r="F99" s="357"/>
      <c r="G99" s="357"/>
      <c r="H99" s="357"/>
      <c r="I99" s="357"/>
      <c r="J99" s="357"/>
      <c r="K99" s="357"/>
      <c r="L99" s="357"/>
      <c r="P99" s="351"/>
      <c r="Q99" s="351"/>
      <c r="R99" s="351"/>
      <c r="S99" s="351"/>
    </row>
    <row r="100" spans="5:19" ht="16">
      <c r="E100" s="22"/>
      <c r="F100" s="118" t="s">
        <v>109</v>
      </c>
      <c r="G100" s="118">
        <f>'Financial Ratios Calculation'!D79/'Financial Ratios Calculation'!D88</f>
        <v>6.0375273423259204</v>
      </c>
      <c r="H100" s="118">
        <f>'Financial Ratios Calculation'!E79/'Financial Ratios Calculation'!E88</f>
        <v>6.0826532294016715</v>
      </c>
      <c r="I100" s="118">
        <f>'Financial Ratios Calculation'!F79/'Financial Ratios Calculation'!F88</f>
        <v>6.548587818831189</v>
      </c>
      <c r="J100" s="118">
        <f>'Financial Ratios Calculation'!I79/'Financial Ratios Calculation'!I88</f>
        <v>1.8961971713582946</v>
      </c>
      <c r="K100" s="118">
        <f>'Financial Ratios Calculation'!J79/'Financial Ratios Calculation'!J88</f>
        <v>3.2126838743537345</v>
      </c>
      <c r="L100" s="118">
        <f>'Financial Ratios Calculation'!K79/'Financial Ratios Calculation'!K88</f>
        <v>0</v>
      </c>
      <c r="P100" s="351">
        <f t="shared" si="5"/>
        <v>-7.418783444307909E-3</v>
      </c>
      <c r="Q100" s="351">
        <f t="shared" si="6"/>
        <v>-7.115039185848146E-2</v>
      </c>
      <c r="R100" s="351">
        <f t="shared" si="7"/>
        <v>-0.40977785380774984</v>
      </c>
      <c r="S100" s="351"/>
    </row>
    <row r="101" spans="5:19" ht="16">
      <c r="E101" s="333" t="s">
        <v>110</v>
      </c>
      <c r="F101" s="118" t="s">
        <v>111</v>
      </c>
      <c r="G101" s="118">
        <f>'Financial Ratios Calculation'!D79</f>
        <v>176.65</v>
      </c>
      <c r="H101" s="118">
        <f>'Financial Ratios Calculation'!E79</f>
        <v>171.07</v>
      </c>
      <c r="I101" s="118">
        <f>'Financial Ratios Calculation'!F79</f>
        <v>157.38</v>
      </c>
      <c r="J101" s="118">
        <f>'Financial Ratios Calculation'!I79</f>
        <v>3.01</v>
      </c>
      <c r="K101" s="118">
        <f>'Financial Ratios Calculation'!J79</f>
        <v>8.09</v>
      </c>
      <c r="L101" s="118">
        <f>'Financial Ratios Calculation'!K79</f>
        <v>0</v>
      </c>
      <c r="P101" s="351">
        <f t="shared" si="5"/>
        <v>3.2618226457005982E-2</v>
      </c>
      <c r="Q101" s="351">
        <f t="shared" si="6"/>
        <v>8.6986910662091743E-2</v>
      </c>
      <c r="R101" s="351">
        <f t="shared" si="7"/>
        <v>-0.62793572311495671</v>
      </c>
      <c r="S101" s="351"/>
    </row>
    <row r="102" spans="5:19" ht="16">
      <c r="E102" s="333" t="s">
        <v>112</v>
      </c>
      <c r="F102" s="118" t="s">
        <v>113</v>
      </c>
      <c r="G102" s="332">
        <f>'Financial Ratios Calculation'!D88</f>
        <v>29.258666666666667</v>
      </c>
      <c r="H102" s="332">
        <f>'Financial Ratios Calculation'!E88</f>
        <v>28.124240121580549</v>
      </c>
      <c r="I102" s="332">
        <f>'Financial Ratios Calculation'!F88</f>
        <v>24.032662362324345</v>
      </c>
      <c r="J102" s="332">
        <f>'Financial Ratios Calculation'!I88</f>
        <v>1.5873876648828982</v>
      </c>
      <c r="K102" s="332">
        <f>'Financial Ratios Calculation'!J88</f>
        <v>2.5181438063610879</v>
      </c>
      <c r="L102" s="332">
        <f>'Financial Ratios Calculation'!K88</f>
        <v>1.5476140317419487</v>
      </c>
      <c r="P102" s="351">
        <f t="shared" si="5"/>
        <v>4.0336255848407415E-2</v>
      </c>
      <c r="Q102" s="351">
        <f t="shared" si="6"/>
        <v>0.17025070704070269</v>
      </c>
      <c r="R102" s="351">
        <f t="shared" si="7"/>
        <v>-0.36961993160478163</v>
      </c>
      <c r="S102" s="351">
        <f t="shared" si="8"/>
        <v>0.62711357916982668</v>
      </c>
    </row>
    <row r="103" spans="5:19" ht="16">
      <c r="E103" s="357" t="s">
        <v>114</v>
      </c>
      <c r="F103" s="357"/>
      <c r="G103" s="357"/>
      <c r="H103" s="357"/>
      <c r="I103" s="357"/>
      <c r="J103" s="357"/>
      <c r="K103" s="357"/>
      <c r="L103" s="357"/>
      <c r="P103" s="351"/>
      <c r="Q103" s="351"/>
      <c r="R103" s="351"/>
      <c r="S103" s="351"/>
    </row>
    <row r="104" spans="5:19" ht="16">
      <c r="E104" s="22"/>
      <c r="F104" s="118" t="s">
        <v>115</v>
      </c>
      <c r="G104" s="118">
        <f>'Financial Ratios Calculation'!D88/'Financial Ratios Calculation'!D79</f>
        <v>0.16563071987923389</v>
      </c>
      <c r="H104" s="118">
        <f>'Financial Ratios Calculation'!E88/'Financial Ratios Calculation'!E79</f>
        <v>0.16440194143672501</v>
      </c>
      <c r="I104" s="118">
        <f>'Financial Ratios Calculation'!F88/'Financial Ratios Calculation'!F79</f>
        <v>0.15270467888120692</v>
      </c>
      <c r="J104" s="118">
        <f>'Financial Ratios Calculation'!I88/'Financial Ratios Calculation'!I79</f>
        <v>0.52737131723684327</v>
      </c>
      <c r="K104" s="118">
        <f>'Financial Ratios Calculation'!J88/'Financial Ratios Calculation'!J79</f>
        <v>0.31126623069976367</v>
      </c>
      <c r="L104" s="118" t="s">
        <v>49</v>
      </c>
      <c r="P104" s="351">
        <f t="shared" si="5"/>
        <v>7.4742331615457753E-3</v>
      </c>
      <c r="Q104" s="351">
        <f t="shared" si="6"/>
        <v>7.6600551084735943E-2</v>
      </c>
      <c r="R104" s="351">
        <f t="shared" si="7"/>
        <v>0.69427732668349396</v>
      </c>
      <c r="S104" s="351"/>
    </row>
    <row r="105" spans="5:19" ht="16">
      <c r="E105" s="357" t="s">
        <v>116</v>
      </c>
      <c r="F105" s="357"/>
      <c r="G105" s="357"/>
      <c r="H105" s="357"/>
      <c r="I105" s="357"/>
      <c r="J105" s="357"/>
      <c r="K105" s="357"/>
      <c r="L105" s="357"/>
      <c r="P105" s="351"/>
      <c r="Q105" s="351"/>
      <c r="R105" s="351"/>
      <c r="S105" s="351"/>
    </row>
    <row r="106" spans="5:19" ht="16">
      <c r="E106" s="22"/>
      <c r="F106" s="118" t="s">
        <v>117</v>
      </c>
      <c r="G106" s="118">
        <f>'Financial Ratios Calculation'!D79/'Financial Ratios Calculation'!D78</f>
        <v>6.7295238095238102E-2</v>
      </c>
      <c r="H106" s="118">
        <f>'Financial Ratios Calculation'!E79/'Financial Ratios Calculation'!E78</f>
        <v>6.4996200607902732E-2</v>
      </c>
      <c r="I106" s="118">
        <f>'Financial Ratios Calculation'!F79/'Financial Ratios Calculation'!F78</f>
        <v>5.9772123053551084E-2</v>
      </c>
      <c r="J106" s="118">
        <f>'Financial Ratios Calculation'!I79/'Financial Ratios Calculation'!I78</f>
        <v>3.2645783487957932E-5</v>
      </c>
      <c r="K106" s="118">
        <f>'Financial Ratios Calculation'!J79/'Financial Ratios Calculation'!J78</f>
        <v>1.1374149047748931E-4</v>
      </c>
      <c r="L106" s="118">
        <f>'Financial Ratios Calculation'!K79/'Financial Ratios Calculation'!K78</f>
        <v>0</v>
      </c>
      <c r="P106" s="351">
        <f t="shared" si="5"/>
        <v>3.5371875060891421E-2</v>
      </c>
      <c r="Q106" s="351">
        <f t="shared" si="6"/>
        <v>8.739989960991161E-2</v>
      </c>
      <c r="R106" s="351">
        <f t="shared" si="7"/>
        <v>-0.71298262972543958</v>
      </c>
      <c r="S106" s="351"/>
    </row>
    <row r="107" spans="5:19" ht="16">
      <c r="F107" s="119"/>
      <c r="G107" s="119"/>
      <c r="H107" s="119"/>
      <c r="I107" s="119"/>
      <c r="J107" s="119"/>
      <c r="K107" s="119"/>
      <c r="L107" s="119"/>
      <c r="P107" s="351"/>
      <c r="Q107" s="351"/>
      <c r="R107" s="351"/>
      <c r="S107" s="351"/>
    </row>
    <row r="108" spans="5:19" ht="16">
      <c r="F108" s="119"/>
      <c r="G108" s="119"/>
      <c r="H108" s="119"/>
      <c r="I108" s="119"/>
      <c r="J108" s="119"/>
      <c r="K108" s="119"/>
      <c r="L108" s="119"/>
      <c r="P108" s="351"/>
      <c r="Q108" s="351"/>
      <c r="R108" s="351"/>
      <c r="S108" s="351"/>
    </row>
    <row r="109" spans="5:19" ht="16">
      <c r="E109" s="352" t="s">
        <v>118</v>
      </c>
      <c r="F109" s="352"/>
      <c r="G109" s="352"/>
      <c r="H109" s="352"/>
      <c r="I109" s="352"/>
      <c r="J109" s="352"/>
      <c r="K109" s="352"/>
      <c r="L109" s="352"/>
      <c r="P109" s="351"/>
      <c r="Q109" s="351"/>
      <c r="R109" s="351"/>
      <c r="S109" s="351"/>
    </row>
    <row r="110" spans="5:19" ht="16">
      <c r="E110" s="353" t="s">
        <v>119</v>
      </c>
      <c r="F110" s="353" t="s">
        <v>4</v>
      </c>
      <c r="G110" s="355" t="s">
        <v>5</v>
      </c>
      <c r="H110" s="355"/>
      <c r="I110" s="355"/>
      <c r="J110" s="356" t="s">
        <v>6</v>
      </c>
      <c r="K110" s="356"/>
      <c r="L110" s="356"/>
      <c r="P110" s="351"/>
      <c r="Q110" s="351"/>
      <c r="R110" s="351"/>
      <c r="S110" s="351"/>
    </row>
    <row r="111" spans="5:19" ht="16">
      <c r="E111" s="353"/>
      <c r="F111" s="353"/>
      <c r="G111" s="116">
        <v>2022</v>
      </c>
      <c r="H111" s="116">
        <v>2021</v>
      </c>
      <c r="I111" s="116">
        <v>2020</v>
      </c>
      <c r="J111" s="116">
        <v>2022</v>
      </c>
      <c r="K111" s="116">
        <v>2021</v>
      </c>
      <c r="L111" s="116">
        <v>2020</v>
      </c>
      <c r="P111" s="351"/>
      <c r="Q111" s="351"/>
      <c r="R111" s="351"/>
      <c r="S111" s="351"/>
    </row>
    <row r="112" spans="5:19" ht="16">
      <c r="E112" s="357" t="s">
        <v>57</v>
      </c>
      <c r="F112" s="357"/>
      <c r="G112" s="357"/>
      <c r="H112" s="357"/>
      <c r="I112" s="357"/>
      <c r="J112" s="357"/>
      <c r="K112" s="357"/>
      <c r="L112" s="357"/>
      <c r="P112" s="351"/>
      <c r="Q112" s="351"/>
      <c r="R112" s="351"/>
      <c r="S112" s="351"/>
    </row>
    <row r="113" spans="5:19" ht="16">
      <c r="E113" s="22"/>
      <c r="F113" s="118" t="s">
        <v>120</v>
      </c>
      <c r="G113" s="118">
        <f t="shared" ref="G113:L113" si="9">G114*G115*G116</f>
        <v>0.23359460444768498</v>
      </c>
      <c r="H113" s="118">
        <f t="shared" si="9"/>
        <v>0.28204747173175904</v>
      </c>
      <c r="I113" s="118">
        <f t="shared" si="9"/>
        <v>0.23252947311861941</v>
      </c>
      <c r="J113" s="118">
        <f t="shared" si="9"/>
        <v>-0.33492074337250616</v>
      </c>
      <c r="K113" s="118">
        <f t="shared" si="9"/>
        <v>-0.21595591437472783</v>
      </c>
      <c r="L113" s="118">
        <f t="shared" si="9"/>
        <v>-0.10364023241318536</v>
      </c>
      <c r="P113" s="351">
        <f t="shared" si="5"/>
        <v>-0.17178975931454227</v>
      </c>
      <c r="Q113" s="351">
        <f t="shared" si="6"/>
        <v>0.21295364389304403</v>
      </c>
      <c r="R113" s="351">
        <f t="shared" si="7"/>
        <v>0.55087553097226105</v>
      </c>
      <c r="S113" s="351">
        <f t="shared" si="8"/>
        <v>1.0837073532773496</v>
      </c>
    </row>
    <row r="114" spans="5:19" ht="16">
      <c r="E114" s="333" t="s">
        <v>32</v>
      </c>
      <c r="F114" s="118" t="s">
        <v>121</v>
      </c>
      <c r="G114" s="118">
        <f>'Financial Ratios Calculation'!D24/'Financial Ratios Calculation'!D25</f>
        <v>0.18896601118565876</v>
      </c>
      <c r="H114" s="118">
        <f>'Financial Ratios Calculation'!E24/'Financial Ratios Calculation'!E25</f>
        <v>0.22263929618768327</v>
      </c>
      <c r="I114" s="118">
        <f>'Financial Ratios Calculation'!F24/'Financial Ratios Calculation'!F25</f>
        <v>0.17817010558946042</v>
      </c>
      <c r="J114" s="118">
        <f>'Financial Ratios Calculation'!I24/'Financial Ratios Calculation'!I25</f>
        <v>-0.15628517046016113</v>
      </c>
      <c r="K114" s="118">
        <f>'Financial Ratios Calculation'!J24/'Financial Ratios Calculation'!J25</f>
        <v>-0.12138815399244914</v>
      </c>
      <c r="L114" s="118">
        <f>'Financial Ratios Calculation'!K24/'Financial Ratios Calculation'!K25</f>
        <v>-4.8136242937289117E-2</v>
      </c>
      <c r="P114" s="351">
        <f t="shared" si="5"/>
        <v>-0.15124591920034722</v>
      </c>
      <c r="Q114" s="351">
        <f t="shared" si="6"/>
        <v>0.24958839447897488</v>
      </c>
      <c r="R114" s="351">
        <f t="shared" si="7"/>
        <v>0.28748288296634567</v>
      </c>
      <c r="S114" s="351">
        <f t="shared" si="8"/>
        <v>1.521762119045956</v>
      </c>
    </row>
    <row r="115" spans="5:19" ht="16">
      <c r="E115" s="333" t="s">
        <v>122</v>
      </c>
      <c r="F115" s="118" t="s">
        <v>123</v>
      </c>
      <c r="G115" s="118">
        <f>'Financia Data - J&amp;J'!U11/'Financia Data - J&amp;J'!L48</f>
        <v>0.50669235449198946</v>
      </c>
      <c r="H115" s="118">
        <f>'Financia Data - J&amp;J'!V11/'Financia Data - J&amp;J'!M48</f>
        <v>0.51519629926710542</v>
      </c>
      <c r="I115" s="118">
        <f>'Financia Data - J&amp;J'!W11/'Financia Data - J&amp;J'!N48</f>
        <v>0.47219458643521217</v>
      </c>
      <c r="J115" s="118">
        <f>'Financial Data - Honest'!R10/'Financial Data - Honest'!K39</f>
        <v>1.3036255346032195</v>
      </c>
      <c r="K115" s="118">
        <f>'Financial Data - Honest'!S10/'Financial Data - Honest'!L39</f>
        <v>1.1689013452092283</v>
      </c>
      <c r="L115" s="118">
        <f>'Financial Data - Honest'!T10/'Financial Data - Honest'!M39</f>
        <v>1.2483674791884751</v>
      </c>
      <c r="P115" s="351">
        <f t="shared" si="5"/>
        <v>-1.6506222554807319E-2</v>
      </c>
      <c r="Q115" s="351">
        <f t="shared" si="6"/>
        <v>9.1067780248245883E-2</v>
      </c>
      <c r="R115" s="351">
        <f t="shared" si="7"/>
        <v>0.11525710869113268</v>
      </c>
      <c r="S115" s="351">
        <f t="shared" si="8"/>
        <v>-6.36560430354252E-2</v>
      </c>
    </row>
    <row r="116" spans="5:19" ht="16">
      <c r="E116" s="333" t="s">
        <v>124</v>
      </c>
      <c r="F116" s="118" t="s">
        <v>125</v>
      </c>
      <c r="G116" s="118">
        <f>'Financia Data - J&amp;J'!L48/'Financia Data - J&amp;J'!L87</f>
        <v>2.4396906411124419</v>
      </c>
      <c r="H116" s="118">
        <f>'Financia Data - J&amp;J'!M48/'Financia Data - J&amp;J'!M87</f>
        <v>2.4589384380530377</v>
      </c>
      <c r="I116" s="118">
        <f>'Financia Data - J&amp;J'!N48/'Financia Data - J&amp;J'!N87</f>
        <v>2.7638989854293752</v>
      </c>
      <c r="J116" s="118">
        <f>'Financial Data - Honest'!K39/'Financial Data - Honest'!K73</f>
        <v>1.6438849412407761</v>
      </c>
      <c r="K116" s="118">
        <f>'Financial Data - Honest'!L39/'Financial Data - Honest'!L73</f>
        <v>1.5219869797773387</v>
      </c>
      <c r="L116" s="118">
        <f>'Financial Data - Honest'!M39/'Financial Data - Honest'!M73</f>
        <v>1.7247007071264302</v>
      </c>
      <c r="P116" s="351">
        <f t="shared" si="5"/>
        <v>-7.827685574688872E-3</v>
      </c>
      <c r="Q116" s="351">
        <f t="shared" si="6"/>
        <v>-0.11033708141434173</v>
      </c>
      <c r="R116" s="351">
        <f t="shared" si="7"/>
        <v>8.0091330006824821E-2</v>
      </c>
      <c r="S116" s="351">
        <f t="shared" si="8"/>
        <v>-0.11753559705256821</v>
      </c>
    </row>
    <row r="117" spans="5:19" ht="16">
      <c r="P117" s="351"/>
      <c r="Q117" s="351"/>
      <c r="R117" s="351"/>
      <c r="S117" s="351"/>
    </row>
    <row r="118" spans="5:19" ht="16">
      <c r="E118" s="354" t="s">
        <v>126</v>
      </c>
      <c r="F118" s="354"/>
      <c r="G118" s="354"/>
      <c r="H118" s="354"/>
      <c r="I118" s="354"/>
      <c r="J118" s="354"/>
      <c r="K118" s="354"/>
      <c r="L118" s="354"/>
      <c r="P118" s="351"/>
      <c r="Q118" s="351"/>
      <c r="R118" s="351"/>
      <c r="S118" s="351"/>
    </row>
    <row r="119" spans="5:19" ht="16">
      <c r="F119" s="118" t="s">
        <v>127</v>
      </c>
      <c r="G119" s="350">
        <f>'Trend Analysis Calculation'!AW23/'Financial Ratios Calculation'!D78</f>
        <v>8.0739047619047621</v>
      </c>
      <c r="H119" s="350">
        <f>'Trend Analysis Calculation'!AX23/'Financial Ratios Calculation'!E78</f>
        <v>8.8943768996960486</v>
      </c>
      <c r="I119" s="350">
        <f>'Trend Analysis Calculation'!AY23/'Financial Ratios Calculation'!F78</f>
        <v>8.9388530193695406</v>
      </c>
      <c r="J119" s="350">
        <f>'Trend Analysis Calculation'!BH20/'Financial Ratios Calculation'!I78</f>
        <v>-0.82726150682524635</v>
      </c>
      <c r="K119" s="350">
        <f>'Trend Analysis Calculation'!BI20/'Financial Ratios Calculation'!J78</f>
        <v>-0.53642680193796377</v>
      </c>
      <c r="L119" s="350">
        <f>'Trend Analysis Calculation'!BJ20/'Financial Ratios Calculation'!K78</f>
        <v>-0.13378452995793316</v>
      </c>
      <c r="P119" s="351">
        <f t="shared" si="5"/>
        <v>-9.2246162608571811E-2</v>
      </c>
      <c r="Q119" s="351">
        <f t="shared" si="6"/>
        <v>-4.9755958149347527E-3</v>
      </c>
      <c r="R119" s="351">
        <f t="shared" si="7"/>
        <v>0.54217034614336213</v>
      </c>
      <c r="S119" s="351">
        <f t="shared" si="8"/>
        <v>3.0096325195942786</v>
      </c>
    </row>
    <row r="120" spans="5:19" ht="16">
      <c r="E120" s="117" t="s">
        <v>128</v>
      </c>
      <c r="F120" s="118" t="s">
        <v>129</v>
      </c>
      <c r="G120" s="118">
        <f>'Financial Ratios Calculation'!D78/'Financial Ratios Calculation'!D79</f>
        <v>14.859892442683272</v>
      </c>
      <c r="H120" s="118">
        <f>'Financial Ratios Calculation'!E78/'Financial Ratios Calculation'!E79</f>
        <v>15.385514701584148</v>
      </c>
      <c r="I120" s="118">
        <f>'Financial Ratios Calculation'!F78/'Financial Ratios Calculation'!F79</f>
        <v>16.730207141949421</v>
      </c>
      <c r="J120" s="118">
        <f>'Financial Ratios Calculation'!I78/'Financial Ratios Calculation'!I79</f>
        <v>30631.82724252492</v>
      </c>
      <c r="K120" s="118">
        <f>'Financial Ratios Calculation'!J78/'Financial Ratios Calculation'!J79</f>
        <v>8791.8665018541415</v>
      </c>
      <c r="L120" s="118" t="s">
        <v>49</v>
      </c>
      <c r="P120" s="351">
        <f t="shared" si="5"/>
        <v>-3.4163449783500333E-2</v>
      </c>
      <c r="Q120" s="351">
        <f t="shared" si="6"/>
        <v>-8.0375122014693018E-2</v>
      </c>
      <c r="R120" s="351">
        <f t="shared" si="7"/>
        <v>2.4841096866137455</v>
      </c>
      <c r="S120" s="351"/>
    </row>
    <row r="121" spans="5:19" ht="16">
      <c r="P121" s="351"/>
      <c r="Q121" s="351"/>
      <c r="R121" s="351"/>
      <c r="S121" s="351"/>
    </row>
    <row r="122" spans="5:19" ht="16">
      <c r="P122" s="351"/>
      <c r="Q122" s="351"/>
      <c r="R122" s="351"/>
      <c r="S122" s="351"/>
    </row>
    <row r="123" spans="5:19" ht="16">
      <c r="E123" s="352" t="s">
        <v>130</v>
      </c>
      <c r="F123" s="352"/>
      <c r="G123" s="352"/>
      <c r="H123" s="352"/>
      <c r="I123" s="352"/>
      <c r="J123" s="352"/>
      <c r="K123" s="352"/>
      <c r="L123" s="352"/>
      <c r="P123" s="351"/>
      <c r="Q123" s="351"/>
      <c r="R123" s="351"/>
      <c r="S123" s="351"/>
    </row>
    <row r="124" spans="5:19" ht="16">
      <c r="E124" s="353" t="s">
        <v>131</v>
      </c>
      <c r="F124" s="353" t="s">
        <v>4</v>
      </c>
      <c r="G124" s="355" t="s">
        <v>5</v>
      </c>
      <c r="H124" s="355"/>
      <c r="I124" s="355"/>
      <c r="J124" s="356" t="s">
        <v>6</v>
      </c>
      <c r="K124" s="356"/>
      <c r="L124" s="356"/>
      <c r="P124" s="351"/>
      <c r="Q124" s="351"/>
      <c r="R124" s="351"/>
      <c r="S124" s="351"/>
    </row>
    <row r="125" spans="5:19" ht="16">
      <c r="E125" s="353"/>
      <c r="F125" s="353"/>
      <c r="G125" s="116">
        <v>2022</v>
      </c>
      <c r="H125" s="116">
        <v>2021</v>
      </c>
      <c r="I125" s="116">
        <v>2020</v>
      </c>
      <c r="J125" s="116">
        <v>2022</v>
      </c>
      <c r="K125" s="116">
        <v>2021</v>
      </c>
      <c r="L125" s="116">
        <v>2020</v>
      </c>
      <c r="P125" s="351"/>
      <c r="Q125" s="351"/>
      <c r="R125" s="351"/>
      <c r="S125" s="351"/>
    </row>
    <row r="126" spans="5:19" ht="16">
      <c r="E126" s="357" t="s">
        <v>132</v>
      </c>
      <c r="F126" s="357"/>
      <c r="G126" s="357"/>
      <c r="H126" s="357"/>
      <c r="I126" s="357"/>
      <c r="J126" s="357"/>
      <c r="K126" s="357"/>
      <c r="L126" s="357"/>
      <c r="P126" s="351"/>
      <c r="Q126" s="351"/>
      <c r="R126" s="351"/>
      <c r="S126" s="351"/>
    </row>
    <row r="127" spans="5:19" ht="16">
      <c r="E127" s="22"/>
      <c r="F127" s="118" t="s">
        <v>133</v>
      </c>
      <c r="G127" s="337">
        <f>(G128-H128)/((G128+H128)/2)</f>
        <v>0.19842705931050794</v>
      </c>
      <c r="H127" s="337">
        <f t="shared" ref="H127" si="10">(H128-I128)/((H128+I128)/2)</f>
        <v>3.7545560942986125E-2</v>
      </c>
      <c r="I127" s="337"/>
      <c r="J127" s="337">
        <f>(J128-K128)/((J128+K128)/2)</f>
        <v>0.26420002179346125</v>
      </c>
      <c r="K127" s="337">
        <f t="shared" ref="K127" si="11">(K128-L128)/((K128+L128)/2)</f>
        <v>7.6820523604247709E-2</v>
      </c>
      <c r="L127" s="336"/>
      <c r="P127" s="351">
        <f t="shared" si="5"/>
        <v>4.2849672325264869</v>
      </c>
      <c r="Q127" s="351"/>
      <c r="R127" s="351">
        <f t="shared" si="7"/>
        <v>2.4391853816894913</v>
      </c>
      <c r="S127" s="351"/>
    </row>
    <row r="128" spans="5:19" ht="16">
      <c r="E128" s="333" t="s">
        <v>134</v>
      </c>
      <c r="F128" s="118" t="s">
        <v>135</v>
      </c>
      <c r="G128" s="118">
        <f>'Earnings Quality Calculation'!C14</f>
        <v>92944</v>
      </c>
      <c r="H128" s="118">
        <f>'Earnings Quality Calculation'!D14</f>
        <v>76166</v>
      </c>
      <c r="I128" s="118">
        <f>'Earnings Quality Calculation'!E14</f>
        <v>73359</v>
      </c>
      <c r="J128" s="118">
        <f>'Earnings Quality Calculation'!H14</f>
        <v>161035</v>
      </c>
      <c r="K128" s="118">
        <f>'Earnings Quality Calculation'!I14</f>
        <v>123454</v>
      </c>
      <c r="L128" s="118">
        <f>'Earnings Quality Calculation'!J14</f>
        <v>114321</v>
      </c>
      <c r="P128" s="351">
        <f t="shared" si="5"/>
        <v>0.22028201559751071</v>
      </c>
      <c r="Q128" s="351">
        <f t="shared" si="6"/>
        <v>3.8263880369143528E-2</v>
      </c>
      <c r="R128" s="351">
        <f t="shared" si="7"/>
        <v>0.30441297973334197</v>
      </c>
      <c r="S128" s="351">
        <f t="shared" si="8"/>
        <v>7.9889084245239286E-2</v>
      </c>
    </row>
    <row r="129" spans="5:19" ht="16">
      <c r="P129" s="351"/>
      <c r="Q129" s="351"/>
      <c r="R129" s="351"/>
      <c r="S129" s="351"/>
    </row>
    <row r="130" spans="5:19" ht="16">
      <c r="E130" s="354" t="s">
        <v>136</v>
      </c>
      <c r="F130" s="354"/>
      <c r="G130" s="354"/>
      <c r="H130" s="354"/>
      <c r="I130" s="354"/>
      <c r="J130" s="354"/>
      <c r="K130" s="354"/>
      <c r="L130" s="354"/>
      <c r="P130" s="351"/>
      <c r="Q130" s="351"/>
      <c r="R130" s="351"/>
      <c r="S130" s="351"/>
    </row>
    <row r="131" spans="5:19" ht="16">
      <c r="F131" s="334" t="s">
        <v>137</v>
      </c>
      <c r="G131" s="337">
        <f>(G132-(G133+G134))/((G128+H128)/2)</f>
        <v>0.10783513689314647</v>
      </c>
      <c r="H131" s="337">
        <f t="shared" ref="H131" si="12">(H132-(H133+H134))/((H128+I128)/2)</f>
        <v>8.2273867246279886E-2</v>
      </c>
      <c r="I131" s="337"/>
      <c r="J131" s="337">
        <f>(J132-(J133+J134))/((J128+K128)/2)</f>
        <v>-5.4181356748415579E-2</v>
      </c>
      <c r="K131" s="337">
        <f t="shared" ref="K131" si="13">(K132-(K133+K134))/((K128+L128)/2)</f>
        <v>6.8114814425402168E-2</v>
      </c>
      <c r="L131" s="337"/>
      <c r="P131" s="351">
        <f t="shared" si="5"/>
        <v>0.31068516045746436</v>
      </c>
      <c r="Q131" s="351"/>
      <c r="R131" s="351">
        <f t="shared" si="7"/>
        <v>-1.7954415967433017</v>
      </c>
      <c r="S131" s="351"/>
    </row>
    <row r="132" spans="5:19" ht="16">
      <c r="E132" s="333" t="s">
        <v>101</v>
      </c>
      <c r="F132" s="118"/>
      <c r="G132" s="118">
        <f>'Trend Analysis Calculation'!Z19</f>
        <v>17941</v>
      </c>
      <c r="H132" s="118">
        <f>'Trend Analysis Calculation'!AA19</f>
        <v>20878</v>
      </c>
      <c r="I132" s="118">
        <f>'Trend Analysis Calculation'!AB19</f>
        <v>14714</v>
      </c>
      <c r="J132" s="118">
        <f>'Trend Analysis Calculation'!AK19</f>
        <v>-49019</v>
      </c>
      <c r="K132" s="118">
        <f>'Trend Analysis Calculation'!AL19</f>
        <v>-38679</v>
      </c>
      <c r="L132" s="118">
        <f>'Trend Analysis Calculation'!AM19</f>
        <v>-14466</v>
      </c>
      <c r="P132" s="351">
        <f t="shared" si="5"/>
        <v>-0.14067439409905164</v>
      </c>
      <c r="Q132" s="351">
        <f t="shared" si="6"/>
        <v>0.41892075574282994</v>
      </c>
      <c r="R132" s="351">
        <f t="shared" si="7"/>
        <v>0.26732852452235062</v>
      </c>
      <c r="S132" s="351">
        <f t="shared" si="8"/>
        <v>1.6737868104520945</v>
      </c>
    </row>
    <row r="133" spans="5:19" ht="16">
      <c r="E133" s="333" t="s">
        <v>138</v>
      </c>
      <c r="F133" s="118"/>
      <c r="G133" s="118">
        <f>'Trend Analysis Calculation'!AW23</f>
        <v>21194</v>
      </c>
      <c r="H133" s="118">
        <f>'Trend Analysis Calculation'!AX23</f>
        <v>23410</v>
      </c>
      <c r="I133" s="118">
        <f>'Trend Analysis Calculation'!AY23</f>
        <v>23536</v>
      </c>
      <c r="J133" s="118">
        <f>'Trend Analysis Calculation'!BH20</f>
        <v>-76275</v>
      </c>
      <c r="K133" s="118">
        <f>'Trend Analysis Calculation'!BI20</f>
        <v>-38154</v>
      </c>
      <c r="L133" s="118">
        <f>'Trend Analysis Calculation'!BJ20</f>
        <v>-12066</v>
      </c>
      <c r="P133" s="351">
        <f t="shared" si="5"/>
        <v>-9.4660401537804362E-2</v>
      </c>
      <c r="Q133" s="351">
        <f t="shared" si="6"/>
        <v>-5.3535010197144801E-3</v>
      </c>
      <c r="R133" s="351">
        <f t="shared" si="7"/>
        <v>0.99913508413272523</v>
      </c>
      <c r="S133" s="351">
        <f t="shared" si="8"/>
        <v>2.1621084037792144</v>
      </c>
    </row>
    <row r="134" spans="5:19" ht="16">
      <c r="E134" s="333" t="s">
        <v>139</v>
      </c>
      <c r="F134" s="118"/>
      <c r="G134" s="118">
        <f>'Trend Analysis Calculation'!AW32</f>
        <v>-12371</v>
      </c>
      <c r="H134" s="118">
        <f>'Trend Analysis Calculation'!AX32</f>
        <v>-8683</v>
      </c>
      <c r="I134" s="118">
        <f>'Trend Analysis Calculation'!AY32</f>
        <v>-20825</v>
      </c>
      <c r="J134" s="118">
        <f>'Trend Analysis Calculation'!BH26</f>
        <v>34963</v>
      </c>
      <c r="K134" s="118">
        <f>'Trend Analysis Calculation'!BI26</f>
        <v>-8623</v>
      </c>
      <c r="L134" s="118">
        <f>'Trend Analysis Calculation'!BJ26</f>
        <v>36696</v>
      </c>
      <c r="P134" s="351">
        <f t="shared" si="5"/>
        <v>0.42473799378095128</v>
      </c>
      <c r="Q134" s="351">
        <f t="shared" si="6"/>
        <v>-0.58304921968787515</v>
      </c>
      <c r="R134" s="351">
        <f t="shared" si="7"/>
        <v>-5.0546213614751245</v>
      </c>
      <c r="S134" s="351">
        <f t="shared" si="8"/>
        <v>-1.2349847394811424</v>
      </c>
    </row>
    <row r="135" spans="5:19" ht="16">
      <c r="P135" s="351"/>
      <c r="Q135" s="351"/>
      <c r="R135" s="351"/>
      <c r="S135" s="351"/>
    </row>
    <row r="136" spans="5:19" ht="16">
      <c r="P136" s="351"/>
      <c r="Q136" s="351"/>
      <c r="R136" s="351"/>
      <c r="S136" s="351"/>
    </row>
    <row r="137" spans="5:19" ht="16">
      <c r="E137" s="352" t="s">
        <v>140</v>
      </c>
      <c r="F137" s="352"/>
      <c r="G137" s="352"/>
      <c r="H137" s="352"/>
      <c r="I137" s="352"/>
      <c r="J137" s="352"/>
      <c r="K137" s="352"/>
      <c r="L137" s="352"/>
      <c r="P137" s="351"/>
      <c r="Q137" s="351"/>
      <c r="R137" s="351"/>
      <c r="S137" s="351"/>
    </row>
    <row r="138" spans="5:19" ht="16">
      <c r="E138" s="353" t="s">
        <v>141</v>
      </c>
      <c r="F138" s="353" t="s">
        <v>4</v>
      </c>
      <c r="G138" s="355" t="s">
        <v>5</v>
      </c>
      <c r="H138" s="355"/>
      <c r="I138" s="355"/>
      <c r="J138" s="356" t="s">
        <v>6</v>
      </c>
      <c r="K138" s="356"/>
      <c r="L138" s="356"/>
      <c r="P138" s="351"/>
      <c r="Q138" s="351"/>
      <c r="R138" s="351"/>
      <c r="S138" s="351"/>
    </row>
    <row r="139" spans="5:19" ht="16">
      <c r="E139" s="353"/>
      <c r="F139" s="353"/>
      <c r="G139" s="116">
        <v>2022</v>
      </c>
      <c r="H139" s="116">
        <v>2021</v>
      </c>
      <c r="I139" s="116">
        <v>2020</v>
      </c>
      <c r="J139" s="116">
        <v>2022</v>
      </c>
      <c r="K139" s="116">
        <v>2021</v>
      </c>
      <c r="L139" s="116">
        <v>2020</v>
      </c>
      <c r="P139" s="351"/>
      <c r="Q139" s="351"/>
      <c r="R139" s="351"/>
      <c r="S139" s="351"/>
    </row>
    <row r="140" spans="5:19" ht="16">
      <c r="E140" s="354" t="s">
        <v>142</v>
      </c>
      <c r="F140" s="354"/>
      <c r="G140" s="354"/>
      <c r="H140" s="354"/>
      <c r="I140" s="354"/>
      <c r="J140" s="354"/>
      <c r="K140" s="354"/>
      <c r="L140" s="354"/>
      <c r="P140" s="351"/>
      <c r="Q140" s="351"/>
      <c r="R140" s="351"/>
      <c r="S140" s="351"/>
    </row>
    <row r="141" spans="5:19" ht="16">
      <c r="E141" s="117" t="s">
        <v>143</v>
      </c>
      <c r="F141" s="118" t="s">
        <v>144</v>
      </c>
      <c r="G141" s="118">
        <f>'Financial Ratios Calculation'!D79/'Summary of Calculations'!G31</f>
        <v>25.846176355833009</v>
      </c>
      <c r="H141" s="118">
        <f>'Financial Ratios Calculation'!E79/'Summary of Calculations'!H31</f>
        <v>21.566061883322156</v>
      </c>
      <c r="I141" s="118">
        <f>'Financial Ratios Calculation'!F79/'Summary of Calculations'!I31</f>
        <v>28.162399075710209</v>
      </c>
      <c r="J141" s="118">
        <f>'Financial Ratios Calculation'!I79/'Summary of Calculations'!J31</f>
        <v>-5.6616295314061889</v>
      </c>
      <c r="K141" s="118">
        <f>'Financial Ratios Calculation'!J79/'Summary of Calculations'!K31</f>
        <v>-14.876572765583392</v>
      </c>
      <c r="L141" s="118">
        <f>'Financial Ratios Calculation'!K79/'Summary of Calculations'!L31</f>
        <v>0</v>
      </c>
      <c r="P141" s="351">
        <f t="shared" ref="P141:P154" si="14">(G141-H141)/H141</f>
        <v>0.19846527825373744</v>
      </c>
      <c r="Q141" s="351">
        <f t="shared" ref="Q141:Q154" si="15">(H141-I141)/I141</f>
        <v>-0.23422497403913745</v>
      </c>
      <c r="R141" s="351">
        <f t="shared" ref="R141:R154" si="16">(J141-K141)/K141</f>
        <v>-0.61942648884128482</v>
      </c>
      <c r="S141" s="351"/>
    </row>
    <row r="142" spans="5:19" ht="16">
      <c r="P142" s="351"/>
      <c r="Q142" s="351"/>
      <c r="R142" s="351"/>
      <c r="S142" s="351"/>
    </row>
    <row r="143" spans="5:19" ht="16">
      <c r="E143" s="354" t="s">
        <v>145</v>
      </c>
      <c r="F143" s="354"/>
      <c r="G143" s="354"/>
      <c r="H143" s="354"/>
      <c r="I143" s="354"/>
      <c r="J143" s="354"/>
      <c r="K143" s="354"/>
      <c r="L143" s="354"/>
      <c r="P143" s="351"/>
      <c r="Q143" s="351"/>
      <c r="R143" s="351"/>
      <c r="S143" s="351"/>
    </row>
    <row r="144" spans="5:19" ht="16">
      <c r="E144" s="117" t="s">
        <v>146</v>
      </c>
      <c r="F144" s="118" t="s">
        <v>147</v>
      </c>
      <c r="G144" s="118">
        <f>('Financial Ratios Calculation'!D79/'Summary of Calculations'!G31)/'Summary of Calculations'!G31</f>
        <v>3.78162939267943</v>
      </c>
      <c r="H144" s="118">
        <f>('Financial Ratios Calculation'!E79/'Summary of Calculations'!H31)/'Summary of Calculations'!H31</f>
        <v>2.7187410133587471</v>
      </c>
      <c r="I144" s="118">
        <f>('Financial Ratios Calculation'!F79/'Summary of Calculations'!I31)/'Summary of Calculations'!I31</f>
        <v>5.0395267613391992</v>
      </c>
      <c r="J144" s="118">
        <f>('Financial Ratios Calculation'!I79/'Summary of Calculations'!J31)/'Summary of Calculations'!J31</f>
        <v>10.649185697970321</v>
      </c>
      <c r="K144" s="118">
        <f>('Financial Ratios Calculation'!J79/'Summary of Calculations'!K31)/'Summary of Calculations'!K31</f>
        <v>27.35629385039524</v>
      </c>
      <c r="L144" s="118">
        <f>('Financial Ratios Calculation'!K79/'Summary of Calculations'!L31)/'Summary of Calculations'!L31</f>
        <v>0</v>
      </c>
      <c r="P144" s="351">
        <f t="shared" si="14"/>
        <v>0.39094874211927416</v>
      </c>
      <c r="Q144" s="351">
        <f t="shared" si="15"/>
        <v>-0.46051660361929075</v>
      </c>
      <c r="R144" s="351">
        <f t="shared" si="16"/>
        <v>-0.61072264553787636</v>
      </c>
      <c r="S144" s="351"/>
    </row>
    <row r="145" spans="5:19" ht="16">
      <c r="P145" s="351"/>
      <c r="Q145" s="351"/>
      <c r="R145" s="351"/>
      <c r="S145" s="351"/>
    </row>
    <row r="146" spans="5:19" ht="16">
      <c r="P146" s="351"/>
      <c r="Q146" s="351"/>
      <c r="R146" s="351"/>
      <c r="S146" s="351"/>
    </row>
    <row r="147" spans="5:19" ht="16">
      <c r="E147" s="352" t="s">
        <v>148</v>
      </c>
      <c r="F147" s="352"/>
      <c r="G147" s="352"/>
      <c r="H147" s="352"/>
      <c r="I147" s="352"/>
      <c r="J147" s="352"/>
      <c r="K147" s="352"/>
      <c r="L147" s="352"/>
      <c r="P147" s="351"/>
      <c r="Q147" s="351"/>
      <c r="R147" s="351"/>
      <c r="S147" s="351"/>
    </row>
    <row r="148" spans="5:19" ht="16">
      <c r="E148" s="353" t="s">
        <v>149</v>
      </c>
      <c r="F148" s="353" t="s">
        <v>4</v>
      </c>
      <c r="G148" s="355" t="s">
        <v>5</v>
      </c>
      <c r="H148" s="355"/>
      <c r="I148" s="355"/>
      <c r="J148" s="356" t="s">
        <v>6</v>
      </c>
      <c r="K148" s="356"/>
      <c r="L148" s="356"/>
      <c r="P148" s="351"/>
      <c r="Q148" s="351"/>
      <c r="R148" s="351"/>
      <c r="S148" s="351"/>
    </row>
    <row r="149" spans="5:19" ht="16">
      <c r="E149" s="353"/>
      <c r="F149" s="353"/>
      <c r="G149" s="116">
        <v>2022</v>
      </c>
      <c r="H149" s="116">
        <v>2021</v>
      </c>
      <c r="I149" s="116">
        <v>2020</v>
      </c>
      <c r="J149" s="116">
        <v>2022</v>
      </c>
      <c r="K149" s="116">
        <v>2021</v>
      </c>
      <c r="L149" s="116">
        <v>2020</v>
      </c>
      <c r="P149" s="351"/>
      <c r="Q149" s="351"/>
      <c r="R149" s="351"/>
      <c r="S149" s="351"/>
    </row>
    <row r="150" spans="5:19" ht="16">
      <c r="E150" s="357" t="s">
        <v>149</v>
      </c>
      <c r="F150" s="357"/>
      <c r="G150" s="357"/>
      <c r="H150" s="357"/>
      <c r="I150" s="357"/>
      <c r="J150" s="357"/>
      <c r="K150" s="357"/>
      <c r="L150" s="357"/>
      <c r="P150" s="351"/>
      <c r="Q150" s="351"/>
      <c r="R150" s="351"/>
      <c r="S150" s="351"/>
    </row>
    <row r="151" spans="5:19" ht="16">
      <c r="E151" s="22"/>
      <c r="F151" s="118" t="s">
        <v>150</v>
      </c>
      <c r="G151" s="337">
        <f>(G152+G153)/G154</f>
        <v>0.59019127054639642</v>
      </c>
      <c r="H151" s="337">
        <f t="shared" ref="H151:I151" si="17">(H152+H153)/H154</f>
        <v>0.59340496827072919</v>
      </c>
      <c r="I151" s="337">
        <f t="shared" si="17"/>
        <v>0.63828793559036878</v>
      </c>
      <c r="J151" s="337">
        <f>(J152+J153)/J154</f>
        <v>0.51899977656816909</v>
      </c>
      <c r="K151" s="337">
        <f t="shared" ref="K151:L151" si="18">(K152+K153)/K154</f>
        <v>0.37521640554317964</v>
      </c>
      <c r="L151" s="337">
        <f t="shared" si="18"/>
        <v>0.42018925610222158</v>
      </c>
      <c r="P151" s="351">
        <f t="shared" si="14"/>
        <v>-5.4156906264165123E-3</v>
      </c>
      <c r="Q151" s="351">
        <f t="shared" si="15"/>
        <v>-7.0317743477520359E-2</v>
      </c>
      <c r="R151" s="351">
        <f t="shared" si="16"/>
        <v>0.38320118443873041</v>
      </c>
      <c r="S151" s="351">
        <f>(K151-L151)/L151</f>
        <v>-0.10702998685930504</v>
      </c>
    </row>
    <row r="152" spans="5:19" ht="16">
      <c r="E152" s="333" t="s">
        <v>151</v>
      </c>
      <c r="F152" s="118"/>
      <c r="G152" s="118">
        <f>G120</f>
        <v>14.859892442683272</v>
      </c>
      <c r="H152" s="118">
        <f t="shared" ref="H152:I152" si="19">H120</f>
        <v>15.385514701584148</v>
      </c>
      <c r="I152" s="118">
        <f t="shared" si="19"/>
        <v>16.730207141949421</v>
      </c>
      <c r="J152" s="118">
        <f>J120</f>
        <v>30631.82724252492</v>
      </c>
      <c r="K152" s="118">
        <f t="shared" ref="K152" si="20">K120</f>
        <v>8791.8665018541415</v>
      </c>
      <c r="L152" s="118"/>
      <c r="P152" s="351">
        <f t="shared" si="14"/>
        <v>-3.4163449783500333E-2</v>
      </c>
      <c r="Q152" s="351">
        <f t="shared" si="15"/>
        <v>-8.0375122014693018E-2</v>
      </c>
      <c r="R152" s="351">
        <f t="shared" si="16"/>
        <v>2.4841096866137455</v>
      </c>
      <c r="S152" s="351"/>
    </row>
    <row r="153" spans="5:19" ht="16">
      <c r="E153" s="333" t="s">
        <v>152</v>
      </c>
      <c r="F153" s="118"/>
      <c r="G153" s="118">
        <f>'Trend Analysis Calculation'!C36</f>
        <v>110574</v>
      </c>
      <c r="H153" s="118">
        <f>'Trend Analysis Calculation'!D36</f>
        <v>107995</v>
      </c>
      <c r="I153" s="118">
        <f>'Trend Analysis Calculation'!E36</f>
        <v>111616</v>
      </c>
      <c r="J153" s="118">
        <f>'Trend Analysis Calculation'!N32</f>
        <v>94239</v>
      </c>
      <c r="K153" s="118">
        <f>'Trend Analysis Calculation'!O32</f>
        <v>93491</v>
      </c>
      <c r="L153" s="118">
        <f>'Trend Analysis Calculation'!P32</f>
        <v>101153</v>
      </c>
      <c r="P153" s="351">
        <f t="shared" si="14"/>
        <v>2.3880735219223112E-2</v>
      </c>
      <c r="Q153" s="351">
        <f t="shared" si="15"/>
        <v>-3.2441585435779817E-2</v>
      </c>
      <c r="R153" s="351">
        <f t="shared" si="16"/>
        <v>8.0007701276058659E-3</v>
      </c>
      <c r="S153" s="351">
        <f t="shared" ref="S153:S154" si="21">(K153-L153)/L153</f>
        <v>-7.5746641226656655E-2</v>
      </c>
    </row>
    <row r="154" spans="5:19" ht="16">
      <c r="E154" s="333" t="s">
        <v>153</v>
      </c>
      <c r="F154" s="118"/>
      <c r="G154" s="118">
        <f>'Trend Analysis Calculation'!C21</f>
        <v>187378</v>
      </c>
      <c r="H154" s="118">
        <f>'Trend Analysis Calculation'!D21</f>
        <v>182018</v>
      </c>
      <c r="I154" s="118">
        <f>'Trend Analysis Calculation'!E21</f>
        <v>174894</v>
      </c>
      <c r="J154" s="118">
        <f>'Trend Analysis Calculation'!N21</f>
        <v>240599</v>
      </c>
      <c r="K154" s="118">
        <f>'Trend Analysis Calculation'!O21</f>
        <v>272597</v>
      </c>
      <c r="L154" s="118">
        <f>'Trend Analysis Calculation'!P21</f>
        <v>240732</v>
      </c>
      <c r="P154" s="351">
        <f t="shared" si="14"/>
        <v>2.9447637046885473E-2</v>
      </c>
      <c r="Q154" s="351">
        <f t="shared" si="15"/>
        <v>4.0733244136448361E-2</v>
      </c>
      <c r="R154" s="351">
        <f t="shared" si="16"/>
        <v>-0.11738206950186539</v>
      </c>
      <c r="S154" s="351">
        <f t="shared" si="21"/>
        <v>0.13236711363674128</v>
      </c>
    </row>
    <row r="155" spans="5:19" ht="16">
      <c r="P155" s="351"/>
      <c r="Q155" s="351"/>
      <c r="R155" s="351"/>
      <c r="S155" s="351"/>
    </row>
    <row r="156" spans="5:19" ht="16">
      <c r="P156" s="351"/>
      <c r="Q156" s="351"/>
      <c r="R156" s="351"/>
      <c r="S156" s="351"/>
    </row>
    <row r="157" spans="5:19">
      <c r="E157" s="362" t="s">
        <v>154</v>
      </c>
      <c r="F157" s="362"/>
      <c r="G157" s="362"/>
      <c r="H157" s="362"/>
      <c r="P157" s="349"/>
      <c r="Q157" s="349"/>
      <c r="R157" s="349"/>
      <c r="S157" s="349"/>
    </row>
    <row r="158" spans="5:19">
      <c r="E158" s="363"/>
      <c r="F158" s="365" t="s">
        <v>4</v>
      </c>
      <c r="G158" s="343" t="s">
        <v>5</v>
      </c>
      <c r="H158" s="344" t="s">
        <v>6</v>
      </c>
      <c r="P158" s="349"/>
      <c r="Q158" s="349"/>
      <c r="R158" s="349"/>
      <c r="S158" s="349"/>
    </row>
    <row r="159" spans="5:19">
      <c r="E159" s="364"/>
      <c r="F159" s="366"/>
      <c r="G159" s="116">
        <v>2022</v>
      </c>
      <c r="H159" s="116">
        <v>2022</v>
      </c>
      <c r="P159" s="349"/>
      <c r="Q159" s="349"/>
      <c r="R159" s="349"/>
      <c r="S159" s="349"/>
    </row>
    <row r="160" spans="5:19">
      <c r="E160" s="354" t="s">
        <v>155</v>
      </c>
      <c r="F160" s="358"/>
      <c r="G160" s="358"/>
      <c r="H160" s="358"/>
      <c r="P160" s="349"/>
      <c r="Q160" s="349"/>
      <c r="R160" s="349"/>
      <c r="S160" s="349"/>
    </row>
    <row r="161" spans="5:19">
      <c r="F161" s="118" t="s">
        <v>156</v>
      </c>
      <c r="G161" s="118">
        <f>'Industry Valuation Calculation'!K8</f>
        <v>26.917973333333336</v>
      </c>
      <c r="H161" s="118">
        <f>'Industry Valuation Calculation'!L8</f>
        <v>2.1747211008895708</v>
      </c>
      <c r="P161" s="349"/>
      <c r="Q161" s="349"/>
      <c r="R161" s="349"/>
      <c r="S161" s="349"/>
    </row>
    <row r="162" spans="5:19">
      <c r="E162" s="354" t="s">
        <v>157</v>
      </c>
      <c r="F162" s="358"/>
      <c r="G162" s="358"/>
      <c r="H162" s="358"/>
      <c r="P162" s="349"/>
      <c r="Q162" s="349"/>
      <c r="R162" s="349"/>
      <c r="S162" s="349"/>
    </row>
    <row r="163" spans="5:19">
      <c r="F163" s="118"/>
      <c r="G163" s="118">
        <f>'Industry Valuation Calculation'!K9</f>
        <v>111.39978666666669</v>
      </c>
      <c r="H163" s="118">
        <f>'Industry Valuation Calculation'!L9</f>
        <v>2.1091087158819022</v>
      </c>
      <c r="P163" s="349"/>
      <c r="Q163" s="349"/>
      <c r="R163" s="349"/>
      <c r="S163" s="349"/>
    </row>
    <row r="164" spans="5:19">
      <c r="E164" s="354" t="s">
        <v>158</v>
      </c>
      <c r="F164" s="358"/>
      <c r="G164" s="358"/>
      <c r="H164" s="358"/>
      <c r="P164" s="349"/>
      <c r="Q164" s="349"/>
      <c r="R164" s="349"/>
      <c r="S164" s="349"/>
    </row>
    <row r="165" spans="5:19">
      <c r="F165" s="118"/>
      <c r="G165" s="118">
        <f>'Industry Valuation Calculation'!K10</f>
        <v>-7.1857752380952382</v>
      </c>
      <c r="H165" s="118">
        <f>'Industry Valuation Calculation'!L10</f>
        <v>-5.0628404217705079</v>
      </c>
      <c r="P165" s="349"/>
      <c r="Q165" s="349"/>
      <c r="R165" s="349"/>
      <c r="S165" s="349"/>
    </row>
    <row r="166" spans="5:19">
      <c r="E166" s="354" t="s">
        <v>159</v>
      </c>
      <c r="F166" s="358"/>
      <c r="G166" s="358"/>
      <c r="H166" s="358"/>
      <c r="P166" s="42"/>
      <c r="Q166" s="42"/>
      <c r="R166" s="42"/>
      <c r="S166" s="42"/>
    </row>
    <row r="167" spans="5:19">
      <c r="F167" s="118"/>
      <c r="G167" s="118">
        <f>'Industry Valuation Calculation'!K11</f>
        <v>5.2818350000000001</v>
      </c>
      <c r="H167" s="118">
        <f>'Industry Valuation Calculation'!L11</f>
        <v>0</v>
      </c>
      <c r="P167" s="42"/>
      <c r="Q167" s="42"/>
      <c r="R167" s="42"/>
      <c r="S167" s="42"/>
    </row>
    <row r="168" spans="5:19">
      <c r="E168" s="354" t="s">
        <v>61</v>
      </c>
      <c r="F168" s="358"/>
      <c r="G168" s="358"/>
      <c r="H168" s="358"/>
      <c r="P168" s="42"/>
      <c r="Q168" s="42"/>
      <c r="R168" s="42"/>
      <c r="S168" s="42"/>
    </row>
    <row r="169" spans="5:19">
      <c r="F169" s="118"/>
      <c r="G169" s="118"/>
      <c r="H169" s="118"/>
      <c r="P169" s="42"/>
      <c r="Q169" s="42"/>
      <c r="R169" s="42"/>
      <c r="S169" s="42"/>
    </row>
    <row r="170" spans="5:19">
      <c r="E170" s="354" t="s">
        <v>160</v>
      </c>
      <c r="F170" s="358"/>
      <c r="G170" s="358"/>
      <c r="H170" s="358"/>
      <c r="P170" s="42"/>
      <c r="Q170" s="42"/>
      <c r="R170" s="42"/>
      <c r="S170" s="42"/>
    </row>
    <row r="171" spans="5:19">
      <c r="F171" s="118" t="s">
        <v>161</v>
      </c>
      <c r="G171" s="118"/>
      <c r="H171" s="118"/>
      <c r="P171" s="42"/>
      <c r="Q171" s="42"/>
      <c r="R171" s="42"/>
      <c r="S171" s="42"/>
    </row>
  </sheetData>
  <mergeCells count="90">
    <mergeCell ref="P4:S5"/>
    <mergeCell ref="E4:L4"/>
    <mergeCell ref="E157:H157"/>
    <mergeCell ref="E158:E159"/>
    <mergeCell ref="F158:F159"/>
    <mergeCell ref="E103:L103"/>
    <mergeCell ref="E105:L105"/>
    <mergeCell ref="E97:E98"/>
    <mergeCell ref="F97:F98"/>
    <mergeCell ref="G97:I97"/>
    <mergeCell ref="J97:L97"/>
    <mergeCell ref="E99:L99"/>
    <mergeCell ref="E67:L67"/>
    <mergeCell ref="E96:L96"/>
    <mergeCell ref="E74:E75"/>
    <mergeCell ref="F74:F75"/>
    <mergeCell ref="E160:H160"/>
    <mergeCell ref="E162:H162"/>
    <mergeCell ref="E164:H164"/>
    <mergeCell ref="E166:H166"/>
    <mergeCell ref="E170:H170"/>
    <mergeCell ref="E168:H168"/>
    <mergeCell ref="G74:I74"/>
    <mergeCell ref="J74:L74"/>
    <mergeCell ref="E82:L82"/>
    <mergeCell ref="E83:E84"/>
    <mergeCell ref="F83:F84"/>
    <mergeCell ref="G83:I83"/>
    <mergeCell ref="J83:L83"/>
    <mergeCell ref="E130:L130"/>
    <mergeCell ref="E39:L39"/>
    <mergeCell ref="E36:L36"/>
    <mergeCell ref="E37:E38"/>
    <mergeCell ref="F37:F38"/>
    <mergeCell ref="G37:I37"/>
    <mergeCell ref="J37:L37"/>
    <mergeCell ref="E47:L47"/>
    <mergeCell ref="E48:E49"/>
    <mergeCell ref="F48:F49"/>
    <mergeCell ref="E123:L123"/>
    <mergeCell ref="E124:E125"/>
    <mergeCell ref="F124:F125"/>
    <mergeCell ref="G124:I124"/>
    <mergeCell ref="J124:L124"/>
    <mergeCell ref="E126:L126"/>
    <mergeCell ref="E112:L112"/>
    <mergeCell ref="E118:L118"/>
    <mergeCell ref="G48:I48"/>
    <mergeCell ref="J48:L48"/>
    <mergeCell ref="E50:L50"/>
    <mergeCell ref="E52:L52"/>
    <mergeCell ref="E109:L109"/>
    <mergeCell ref="E110:E111"/>
    <mergeCell ref="F110:F111"/>
    <mergeCell ref="G110:I110"/>
    <mergeCell ref="J110:L110"/>
    <mergeCell ref="E73:L73"/>
    <mergeCell ref="E56:L56"/>
    <mergeCell ref="E57:E58"/>
    <mergeCell ref="F57:F58"/>
    <mergeCell ref="G57:I57"/>
    <mergeCell ref="J57:L57"/>
    <mergeCell ref="E64:L64"/>
    <mergeCell ref="E65:E66"/>
    <mergeCell ref="F65:F66"/>
    <mergeCell ref="G65:I65"/>
    <mergeCell ref="J65:L65"/>
    <mergeCell ref="E143:L143"/>
    <mergeCell ref="E150:L150"/>
    <mergeCell ref="E147:L147"/>
    <mergeCell ref="E148:E149"/>
    <mergeCell ref="F148:F149"/>
    <mergeCell ref="G148:I148"/>
    <mergeCell ref="J148:L148"/>
    <mergeCell ref="E7:L7"/>
    <mergeCell ref="E8:E9"/>
    <mergeCell ref="E140:L140"/>
    <mergeCell ref="E10:L10"/>
    <mergeCell ref="E14:L14"/>
    <mergeCell ref="F8:F9"/>
    <mergeCell ref="G8:I8"/>
    <mergeCell ref="J8:L8"/>
    <mergeCell ref="E19:L19"/>
    <mergeCell ref="E23:L23"/>
    <mergeCell ref="E28:L28"/>
    <mergeCell ref="E137:L137"/>
    <mergeCell ref="E138:E139"/>
    <mergeCell ref="F138:F139"/>
    <mergeCell ref="G138:I138"/>
    <mergeCell ref="J138:L13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03137-B7F2-4E57-AE37-8A52E56F9147}">
  <dimension ref="B2:AE29"/>
  <sheetViews>
    <sheetView tabSelected="1" topLeftCell="M1" zoomScale="132" workbookViewId="0">
      <selection activeCell="O5" sqref="O5:S21"/>
    </sheetView>
  </sheetViews>
  <sheetFormatPr baseColWidth="10" defaultColWidth="8.83203125" defaultRowHeight="15"/>
  <cols>
    <col min="2" max="2" width="27.33203125" bestFit="1" customWidth="1"/>
    <col min="7" max="7" width="9.1640625" bestFit="1" customWidth="1"/>
    <col min="8" max="12" width="9.1640625" customWidth="1"/>
    <col min="13" max="13" width="9.1640625" style="121" customWidth="1"/>
    <col min="14" max="14" width="9.1640625" bestFit="1" customWidth="1"/>
    <col min="15" max="15" width="19.6640625" bestFit="1" customWidth="1"/>
    <col min="20" max="20" width="9.1640625" bestFit="1" customWidth="1"/>
    <col min="21" max="23" width="9.1640625" customWidth="1"/>
    <col min="25" max="25" width="7.5" customWidth="1"/>
    <col min="26" max="26" width="6.83203125" customWidth="1"/>
    <col min="27" max="27" width="6.1640625" customWidth="1"/>
    <col min="29" max="29" width="6.83203125" customWidth="1"/>
    <col min="30" max="31" width="9.1640625" customWidth="1"/>
  </cols>
  <sheetData>
    <row r="2" spans="2:31">
      <c r="H2" s="361" t="s">
        <v>1</v>
      </c>
      <c r="I2" s="361"/>
      <c r="J2" s="361"/>
      <c r="U2" s="361" t="s">
        <v>1</v>
      </c>
      <c r="V2" s="361"/>
      <c r="W2" s="361"/>
    </row>
    <row r="4" spans="2:31">
      <c r="B4" s="1" t="s">
        <v>163</v>
      </c>
    </row>
    <row r="5" spans="2:31">
      <c r="C5" s="367" t="s">
        <v>5</v>
      </c>
      <c r="D5" s="367"/>
      <c r="E5" s="367"/>
      <c r="F5" s="367"/>
      <c r="H5" s="367" t="s">
        <v>5</v>
      </c>
      <c r="I5" s="367"/>
      <c r="J5" s="367"/>
      <c r="P5" s="368" t="s">
        <v>165</v>
      </c>
      <c r="Q5" s="368"/>
      <c r="R5" s="368"/>
      <c r="S5" s="368"/>
      <c r="U5" s="368" t="s">
        <v>165</v>
      </c>
      <c r="V5" s="368"/>
      <c r="W5" s="368"/>
    </row>
    <row r="6" spans="2:31">
      <c r="C6" s="2">
        <v>2022</v>
      </c>
      <c r="D6" s="2">
        <v>2021</v>
      </c>
      <c r="E6" s="2">
        <v>2020</v>
      </c>
      <c r="F6" s="2">
        <v>2019</v>
      </c>
      <c r="H6" s="2">
        <v>2022</v>
      </c>
      <c r="I6" s="2">
        <v>2021</v>
      </c>
      <c r="J6" s="2">
        <v>2020</v>
      </c>
      <c r="P6" s="2">
        <v>2022</v>
      </c>
      <c r="Q6" s="2">
        <v>2021</v>
      </c>
      <c r="R6" s="2">
        <v>2020</v>
      </c>
      <c r="S6" s="2">
        <v>2019</v>
      </c>
      <c r="U6" s="2">
        <v>2022</v>
      </c>
      <c r="V6" s="2">
        <v>2021</v>
      </c>
      <c r="W6" s="2">
        <v>2020</v>
      </c>
    </row>
    <row r="7" spans="2:31">
      <c r="B7" s="1" t="s">
        <v>477</v>
      </c>
      <c r="O7" s="1" t="s">
        <v>478</v>
      </c>
    </row>
    <row r="8" spans="2:31">
      <c r="B8" t="s">
        <v>479</v>
      </c>
      <c r="C8" s="10">
        <v>14953</v>
      </c>
      <c r="D8" s="10">
        <v>15035</v>
      </c>
      <c r="E8" s="10">
        <v>14053</v>
      </c>
      <c r="F8" s="10">
        <v>13898</v>
      </c>
      <c r="H8" s="42">
        <f t="shared" ref="H8:J11" si="0">(C8-D8)/D8</f>
        <v>-5.4539408047888259E-3</v>
      </c>
      <c r="I8" s="42">
        <f t="shared" si="0"/>
        <v>6.9878317796911685E-2</v>
      </c>
      <c r="J8" s="42">
        <f t="shared" si="0"/>
        <v>1.1152683839401352E-2</v>
      </c>
      <c r="O8" t="s">
        <v>480</v>
      </c>
      <c r="P8" s="10">
        <v>200429</v>
      </c>
      <c r="Q8" s="10">
        <v>200923</v>
      </c>
      <c r="R8" s="10">
        <v>188452</v>
      </c>
      <c r="S8" s="10">
        <v>161855</v>
      </c>
      <c r="U8" s="42">
        <f t="shared" ref="U8:W11" si="1">(P8-Q8)/Q8</f>
        <v>-2.4586533149514988E-3</v>
      </c>
      <c r="V8" s="42">
        <f t="shared" si="1"/>
        <v>6.6176002377263177E-2</v>
      </c>
      <c r="W8" s="42">
        <f t="shared" si="1"/>
        <v>0.16432609434370268</v>
      </c>
    </row>
    <row r="9" spans="2:31">
      <c r="B9" t="s">
        <v>481</v>
      </c>
      <c r="C9" s="10">
        <v>52563</v>
      </c>
      <c r="D9" s="10">
        <v>51680</v>
      </c>
      <c r="E9" s="10">
        <v>45572</v>
      </c>
      <c r="F9" s="10">
        <v>42198</v>
      </c>
      <c r="H9" s="42">
        <f t="shared" si="0"/>
        <v>1.7085913312693497E-2</v>
      </c>
      <c r="I9" s="42">
        <f t="shared" si="0"/>
        <v>0.13402966733959448</v>
      </c>
      <c r="J9" s="42">
        <f t="shared" si="0"/>
        <v>7.9956396037726904E-2</v>
      </c>
      <c r="O9" t="s">
        <v>482</v>
      </c>
      <c r="P9" s="10">
        <v>89316</v>
      </c>
      <c r="Q9" s="10">
        <v>101697</v>
      </c>
      <c r="R9" s="10">
        <v>79542</v>
      </c>
      <c r="S9" s="10">
        <v>58706</v>
      </c>
      <c r="U9" s="42">
        <f t="shared" si="1"/>
        <v>-0.12174400424791292</v>
      </c>
      <c r="V9" s="42">
        <f t="shared" si="1"/>
        <v>0.2785320962510372</v>
      </c>
      <c r="W9" s="42">
        <f t="shared" si="1"/>
        <v>0.35492113242258033</v>
      </c>
      <c r="Y9" s="42"/>
      <c r="Z9" s="42"/>
      <c r="AA9" s="42"/>
      <c r="AB9" s="42"/>
      <c r="AC9" s="42"/>
      <c r="AD9" s="42"/>
      <c r="AE9" s="42"/>
    </row>
    <row r="10" spans="2:31" ht="16" thickBot="1">
      <c r="B10" t="s">
        <v>483</v>
      </c>
      <c r="C10" s="10">
        <v>27427</v>
      </c>
      <c r="D10" s="10">
        <v>27060</v>
      </c>
      <c r="E10" s="10">
        <v>22959</v>
      </c>
      <c r="F10" s="10">
        <v>25963</v>
      </c>
      <c r="H10" s="42">
        <f t="shared" si="0"/>
        <v>1.3562453806356246E-2</v>
      </c>
      <c r="I10" s="42">
        <f t="shared" si="0"/>
        <v>0.17862276231543187</v>
      </c>
      <c r="J10" s="42">
        <f t="shared" si="0"/>
        <v>-0.11570311597273042</v>
      </c>
      <c r="O10" t="s">
        <v>484</v>
      </c>
      <c r="P10" s="10">
        <v>23906</v>
      </c>
      <c r="Q10" s="10">
        <v>16019</v>
      </c>
      <c r="R10" s="10">
        <v>32528</v>
      </c>
      <c r="S10" s="10">
        <v>15026</v>
      </c>
      <c r="U10" s="42">
        <f t="shared" si="1"/>
        <v>0.49235283101317184</v>
      </c>
      <c r="V10" s="42">
        <f t="shared" si="1"/>
        <v>-0.50753197245450077</v>
      </c>
      <c r="W10" s="42">
        <f t="shared" si="1"/>
        <v>1.1647810461866099</v>
      </c>
      <c r="Y10" s="42"/>
      <c r="Z10" s="42"/>
      <c r="AA10" s="42"/>
      <c r="AB10" s="42"/>
      <c r="AC10" s="42"/>
      <c r="AD10" s="42"/>
      <c r="AE10" s="42"/>
    </row>
    <row r="11" spans="2:31" ht="16" thickBot="1">
      <c r="B11" s="179" t="s">
        <v>212</v>
      </c>
      <c r="C11" s="176">
        <f>SUM(C8:C10)</f>
        <v>94943</v>
      </c>
      <c r="D11" s="176">
        <f>SUM(D8:D10)</f>
        <v>93775</v>
      </c>
      <c r="E11" s="176">
        <f>SUM(E8:E10)</f>
        <v>82584</v>
      </c>
      <c r="F11" s="325">
        <f>SUM(F8:F10)</f>
        <v>82059</v>
      </c>
      <c r="H11" s="42">
        <f t="shared" si="0"/>
        <v>1.2455345241268996E-2</v>
      </c>
      <c r="I11" s="42">
        <f t="shared" si="0"/>
        <v>0.13551051051051052</v>
      </c>
      <c r="J11" s="42">
        <f t="shared" si="0"/>
        <v>6.3978357035791317E-3</v>
      </c>
      <c r="O11" s="179" t="s">
        <v>212</v>
      </c>
      <c r="P11" s="176">
        <f>SUM(P8:P10)</f>
        <v>313651</v>
      </c>
      <c r="Q11" s="176">
        <f>SUM(Q8:Q10)</f>
        <v>318639</v>
      </c>
      <c r="R11" s="176">
        <f>SUM(R8:R10)</f>
        <v>300522</v>
      </c>
      <c r="S11" s="325">
        <f>SUM(S8:S10)</f>
        <v>235587</v>
      </c>
      <c r="U11" s="42">
        <f t="shared" si="1"/>
        <v>-1.5654078753699327E-2</v>
      </c>
      <c r="V11" s="42">
        <f t="shared" si="1"/>
        <v>6.0285103919180627E-2</v>
      </c>
      <c r="W11" s="42">
        <f t="shared" si="1"/>
        <v>0.27563065873753645</v>
      </c>
      <c r="Y11" s="42"/>
      <c r="Z11" s="42"/>
      <c r="AA11" s="42"/>
      <c r="AB11" s="42"/>
      <c r="AC11" s="42"/>
      <c r="AD11" s="42"/>
      <c r="AE11" s="42"/>
    </row>
    <row r="12" spans="2:31">
      <c r="B12" s="1" t="s">
        <v>485</v>
      </c>
      <c r="C12" s="185"/>
      <c r="D12" s="185"/>
      <c r="E12" s="185"/>
      <c r="F12" s="185"/>
      <c r="H12" s="42"/>
      <c r="I12" s="42"/>
      <c r="J12" s="42"/>
      <c r="O12" t="s">
        <v>486</v>
      </c>
    </row>
    <row r="13" spans="2:31">
      <c r="B13" s="279" t="s">
        <v>487</v>
      </c>
      <c r="C13" s="186">
        <v>48580</v>
      </c>
      <c r="D13" s="186">
        <v>47156</v>
      </c>
      <c r="E13" s="186">
        <v>43133</v>
      </c>
      <c r="F13" s="186">
        <v>42097</v>
      </c>
      <c r="H13" s="42">
        <f t="shared" ref="H13:J17" si="2">(C13-D13)/D13</f>
        <v>3.01976418695394E-2</v>
      </c>
      <c r="I13" s="42">
        <f t="shared" si="2"/>
        <v>9.3269654324994788E-2</v>
      </c>
      <c r="J13" s="42">
        <f t="shared" si="2"/>
        <v>2.4609829679074519E-2</v>
      </c>
      <c r="O13" s="261" t="s">
        <v>488</v>
      </c>
      <c r="P13" s="329">
        <v>141403</v>
      </c>
      <c r="Q13" s="329">
        <v>157546</v>
      </c>
      <c r="R13" s="329">
        <v>166733</v>
      </c>
      <c r="S13" s="330">
        <v>128716</v>
      </c>
    </row>
    <row r="14" spans="2:31">
      <c r="B14" t="s">
        <v>489</v>
      </c>
      <c r="C14" s="10">
        <v>23449</v>
      </c>
      <c r="D14" s="10">
        <v>23594</v>
      </c>
      <c r="E14" s="10">
        <v>18980</v>
      </c>
      <c r="F14" s="10">
        <v>18466</v>
      </c>
      <c r="H14" s="42">
        <f t="shared" si="2"/>
        <v>-6.1456302449775365E-3</v>
      </c>
      <c r="I14" s="42">
        <f t="shared" si="2"/>
        <v>0.24309799789251843</v>
      </c>
      <c r="J14" s="42">
        <f t="shared" si="2"/>
        <v>2.7834939889526698E-2</v>
      </c>
      <c r="O14" s="249" t="s">
        <v>490</v>
      </c>
      <c r="P14" s="18">
        <v>172248</v>
      </c>
      <c r="Q14" s="18">
        <v>161093</v>
      </c>
      <c r="R14" s="18">
        <v>133789</v>
      </c>
      <c r="S14" s="331">
        <v>106871</v>
      </c>
    </row>
    <row r="15" spans="2:31">
      <c r="B15" t="s">
        <v>491</v>
      </c>
      <c r="C15" s="10">
        <v>6125</v>
      </c>
      <c r="D15" s="10">
        <v>5750</v>
      </c>
      <c r="E15" s="10">
        <v>5335</v>
      </c>
      <c r="F15" s="10">
        <v>5941</v>
      </c>
      <c r="H15" s="42">
        <f t="shared" si="2"/>
        <v>6.5217391304347824E-2</v>
      </c>
      <c r="I15" s="42">
        <f t="shared" si="2"/>
        <v>7.7788191190253042E-2</v>
      </c>
      <c r="J15" s="42">
        <f t="shared" si="2"/>
        <v>-0.10200302979296415</v>
      </c>
    </row>
    <row r="16" spans="2:31">
      <c r="B16" t="s">
        <v>492</v>
      </c>
      <c r="C16" s="10">
        <v>16789</v>
      </c>
      <c r="D16" s="10">
        <v>17275</v>
      </c>
      <c r="E16" s="10">
        <v>15136</v>
      </c>
      <c r="F16" s="10">
        <v>15555</v>
      </c>
      <c r="H16" s="42">
        <f t="shared" si="2"/>
        <v>-2.8133140376266279E-2</v>
      </c>
      <c r="I16" s="42">
        <f t="shared" si="2"/>
        <v>0.14131871035940805</v>
      </c>
      <c r="J16" s="42">
        <f t="shared" si="2"/>
        <v>-2.6936676309868211E-2</v>
      </c>
      <c r="O16" t="s">
        <v>493</v>
      </c>
      <c r="P16">
        <f>'Trend Analysis Calculation'!N17</f>
        <v>14327</v>
      </c>
      <c r="Q16">
        <f>'Trend Analysis Calculation'!O17</f>
        <v>52952</v>
      </c>
      <c r="R16">
        <f>'Trend Analysis Calculation'!P17</f>
        <v>56703</v>
      </c>
      <c r="S16">
        <f>'Trend Analysis Calculation'!Q17</f>
        <v>61224</v>
      </c>
    </row>
    <row r="17" spans="2:19">
      <c r="B17" s="327" t="s">
        <v>494</v>
      </c>
      <c r="C17" s="187">
        <f>C11-C13</f>
        <v>46363</v>
      </c>
      <c r="D17" s="187">
        <f>D11-D13</f>
        <v>46619</v>
      </c>
      <c r="E17" s="187">
        <f>E11-E13</f>
        <v>39451</v>
      </c>
      <c r="F17" s="328">
        <f>F11-F13</f>
        <v>39962</v>
      </c>
      <c r="H17" s="42">
        <f t="shared" si="2"/>
        <v>-5.4913232802076403E-3</v>
      </c>
      <c r="I17" s="42">
        <f t="shared" si="2"/>
        <v>0.18169374667308813</v>
      </c>
      <c r="J17" s="42">
        <f t="shared" si="2"/>
        <v>-1.2787147790400881E-2</v>
      </c>
      <c r="O17" t="s">
        <v>495</v>
      </c>
      <c r="P17">
        <f>'Trend Analysis Calculation'!N19</f>
        <v>370</v>
      </c>
      <c r="Q17">
        <f>'Trend Analysis Calculation'!O19</f>
        <v>440</v>
      </c>
      <c r="R17">
        <f>'Trend Analysis Calculation'!P19</f>
        <v>511</v>
      </c>
      <c r="S17">
        <f>'Trend Analysis Calculation'!Q19</f>
        <v>581</v>
      </c>
    </row>
    <row r="18" spans="2:19" ht="16" thickBot="1">
      <c r="B18" s="1"/>
      <c r="H18" s="42"/>
      <c r="I18" s="42"/>
      <c r="J18" s="42"/>
      <c r="O18" t="s">
        <v>280</v>
      </c>
      <c r="P18">
        <f>'Trend Analysis Calculation'!N18</f>
        <v>2230</v>
      </c>
      <c r="Q18">
        <f>'Trend Analysis Calculation'!O18</f>
        <v>2230</v>
      </c>
      <c r="R18">
        <f>'Trend Analysis Calculation'!P18</f>
        <v>2230</v>
      </c>
      <c r="S18">
        <f>'Trend Analysis Calculation'!Q18</f>
        <v>2230</v>
      </c>
    </row>
    <row r="19" spans="2:19" ht="16" thickBot="1">
      <c r="B19" t="s">
        <v>493</v>
      </c>
      <c r="C19">
        <f>'Trend Analysis Calculation'!C16</f>
        <v>19803</v>
      </c>
      <c r="D19">
        <f>'Trend Analysis Calculation'!D16</f>
        <v>18962</v>
      </c>
      <c r="E19">
        <f>'Trend Analysis Calculation'!E16</f>
        <v>18766</v>
      </c>
      <c r="F19">
        <f>'Trend Analysis Calculation'!F16</f>
        <v>17658</v>
      </c>
      <c r="H19" s="42">
        <f t="shared" ref="H19:H27" si="3">(C19-D19)/D19</f>
        <v>4.435186161797279E-2</v>
      </c>
      <c r="I19" s="42">
        <f t="shared" ref="I19:I27" si="4">(D19-E19)/E19</f>
        <v>1.0444420760950656E-2</v>
      </c>
      <c r="J19" s="42">
        <f t="shared" ref="J19:J27" si="5">(E19-F19)/F19</f>
        <v>6.2747763053573449E-2</v>
      </c>
      <c r="O19" s="179" t="s">
        <v>496</v>
      </c>
      <c r="P19" s="277">
        <f>SUM(P16:P18)</f>
        <v>16927</v>
      </c>
      <c r="Q19" s="277">
        <f>SUM(Q16:Q18)</f>
        <v>55622</v>
      </c>
      <c r="R19" s="277">
        <f>SUM(R16:R18)</f>
        <v>59444</v>
      </c>
      <c r="S19" s="278">
        <f>SUM(S16:S18)</f>
        <v>64035</v>
      </c>
    </row>
    <row r="20" spans="2:19" ht="16" thickBot="1">
      <c r="B20" t="s">
        <v>495</v>
      </c>
      <c r="C20">
        <f>'Trend Analysis Calculation'!C17</f>
        <v>48325</v>
      </c>
      <c r="D20">
        <f>'Trend Analysis Calculation'!D17</f>
        <v>46392</v>
      </c>
      <c r="E20">
        <f>'Trend Analysis Calculation'!E17</f>
        <v>53402</v>
      </c>
      <c r="F20">
        <f>'Trend Analysis Calculation'!F17</f>
        <v>47643</v>
      </c>
      <c r="H20" s="42">
        <f t="shared" si="3"/>
        <v>4.1666666666666664E-2</v>
      </c>
      <c r="I20" s="42">
        <f t="shared" si="4"/>
        <v>-0.13126849181678588</v>
      </c>
      <c r="J20" s="42">
        <f t="shared" si="5"/>
        <v>0.12087819826627207</v>
      </c>
    </row>
    <row r="21" spans="2:19" ht="16" thickBot="1">
      <c r="B21" t="s">
        <v>280</v>
      </c>
      <c r="C21">
        <f>'Trend Analysis Calculation'!C18</f>
        <v>45231</v>
      </c>
      <c r="D21">
        <f>'Trend Analysis Calculation'!D18</f>
        <v>35246</v>
      </c>
      <c r="E21">
        <f>'Trend Analysis Calculation'!E18</f>
        <v>36393</v>
      </c>
      <c r="F21">
        <f>'Trend Analysis Calculation'!F18</f>
        <v>33639</v>
      </c>
      <c r="H21" s="42">
        <f t="shared" si="3"/>
        <v>0.28329455824774441</v>
      </c>
      <c r="I21" s="42">
        <f t="shared" si="4"/>
        <v>-3.1517049982139424E-2</v>
      </c>
      <c r="J21" s="42">
        <f t="shared" si="5"/>
        <v>8.1869258895924377E-2</v>
      </c>
      <c r="O21" s="179" t="s">
        <v>497</v>
      </c>
      <c r="P21" s="277">
        <f>P11/P19</f>
        <v>18.529627222780174</v>
      </c>
      <c r="Q21" s="277">
        <f>Q11/Q19</f>
        <v>5.7286505339613818</v>
      </c>
      <c r="R21" s="277">
        <f>R11/R19</f>
        <v>5.0555480788641409</v>
      </c>
      <c r="S21" s="278">
        <f>S11/S19</f>
        <v>3.6790349027875382</v>
      </c>
    </row>
    <row r="22" spans="2:19" ht="16" thickBot="1">
      <c r="B22" s="179" t="s">
        <v>496</v>
      </c>
      <c r="C22" s="277">
        <f>SUM(C19:C21)</f>
        <v>113359</v>
      </c>
      <c r="D22" s="277">
        <f>SUM(D19:D21)</f>
        <v>100600</v>
      </c>
      <c r="E22" s="277">
        <f>SUM(E19:E21)</f>
        <v>108561</v>
      </c>
      <c r="F22" s="277">
        <f>SUM(F19:F21)</f>
        <v>98940</v>
      </c>
      <c r="H22" s="42">
        <f t="shared" si="3"/>
        <v>0.12682902584493042</v>
      </c>
      <c r="I22" s="42">
        <f t="shared" si="4"/>
        <v>-7.3332043735779881E-2</v>
      </c>
      <c r="J22" s="42">
        <f t="shared" si="5"/>
        <v>9.7240751970891451E-2</v>
      </c>
    </row>
    <row r="23" spans="2:19">
      <c r="B23" s="183" t="s">
        <v>487</v>
      </c>
      <c r="C23" s="326">
        <v>66283</v>
      </c>
      <c r="D23" s="326">
        <v>48586</v>
      </c>
      <c r="E23" s="326">
        <v>49951</v>
      </c>
      <c r="F23" s="326">
        <v>41528</v>
      </c>
      <c r="H23" s="42">
        <f t="shared" si="3"/>
        <v>0.3642407277816655</v>
      </c>
      <c r="I23" s="42">
        <f t="shared" si="4"/>
        <v>-2.7326780244639748E-2</v>
      </c>
      <c r="J23" s="42">
        <f t="shared" si="5"/>
        <v>0.2028270082835677</v>
      </c>
    </row>
    <row r="24" spans="2:19">
      <c r="B24" t="s">
        <v>489</v>
      </c>
      <c r="C24" s="10">
        <v>38774</v>
      </c>
      <c r="D24" s="10">
        <v>43257</v>
      </c>
      <c r="E24" s="10">
        <v>49363</v>
      </c>
      <c r="F24" s="10">
        <v>48015</v>
      </c>
      <c r="H24" s="42">
        <f t="shared" si="3"/>
        <v>-0.10363640566844673</v>
      </c>
      <c r="I24" s="42">
        <f t="shared" si="4"/>
        <v>-0.12369588558231874</v>
      </c>
      <c r="J24" s="42">
        <f t="shared" si="5"/>
        <v>2.8074560033322919E-2</v>
      </c>
    </row>
    <row r="25" spans="2:19">
      <c r="B25" t="s">
        <v>491</v>
      </c>
      <c r="C25" s="10">
        <v>2737</v>
      </c>
      <c r="D25" s="10">
        <v>2708</v>
      </c>
      <c r="E25" s="10">
        <v>2734</v>
      </c>
      <c r="F25" s="10">
        <v>2862</v>
      </c>
      <c r="H25" s="42">
        <f t="shared" si="3"/>
        <v>1.0709010339734121E-2</v>
      </c>
      <c r="I25" s="42">
        <f t="shared" si="4"/>
        <v>-9.5098756400877841E-3</v>
      </c>
      <c r="J25" s="42">
        <f t="shared" si="5"/>
        <v>-4.4723969252271137E-2</v>
      </c>
    </row>
    <row r="26" spans="2:19">
      <c r="B26" t="s">
        <v>492</v>
      </c>
      <c r="C26" s="10">
        <v>4431</v>
      </c>
      <c r="D26" s="10">
        <v>5035</v>
      </c>
      <c r="E26" s="10">
        <v>5484</v>
      </c>
      <c r="F26" s="10">
        <v>5486</v>
      </c>
      <c r="H26" s="42">
        <f t="shared" si="3"/>
        <v>-0.11996027805362462</v>
      </c>
      <c r="I26" s="42">
        <f t="shared" si="4"/>
        <v>-8.1874544128373444E-2</v>
      </c>
      <c r="J26" s="42">
        <f t="shared" si="5"/>
        <v>-3.6456434560699962E-4</v>
      </c>
    </row>
    <row r="27" spans="2:19">
      <c r="B27" s="327" t="s">
        <v>494</v>
      </c>
      <c r="C27" s="187">
        <f>C22-C23</f>
        <v>47076</v>
      </c>
      <c r="D27" s="187">
        <f>D22-D23</f>
        <v>52014</v>
      </c>
      <c r="E27" s="187">
        <f>E22-E23</f>
        <v>58610</v>
      </c>
      <c r="F27" s="328">
        <f>F22-F23</f>
        <v>57412</v>
      </c>
      <c r="H27" s="42">
        <f t="shared" si="3"/>
        <v>-9.4935978774945209E-2</v>
      </c>
      <c r="I27" s="42">
        <f t="shared" si="4"/>
        <v>-0.1125405220952056</v>
      </c>
      <c r="J27" s="42">
        <f t="shared" si="5"/>
        <v>2.0866717759353445E-2</v>
      </c>
    </row>
    <row r="28" spans="2:19" ht="16" thickBot="1"/>
    <row r="29" spans="2:19" ht="16" thickBot="1">
      <c r="B29" s="179" t="s">
        <v>497</v>
      </c>
      <c r="C29" s="277">
        <f>C11/C22</f>
        <v>0.83754267415908745</v>
      </c>
      <c r="D29" s="277">
        <f>D11/D22</f>
        <v>0.93215705765407553</v>
      </c>
      <c r="E29" s="277">
        <f>E11/E22</f>
        <v>0.76071517395749855</v>
      </c>
      <c r="F29" s="278">
        <f>F11/F22</f>
        <v>0.82938144329896912</v>
      </c>
    </row>
  </sheetData>
  <mergeCells count="6">
    <mergeCell ref="H2:J2"/>
    <mergeCell ref="U5:W5"/>
    <mergeCell ref="U2:W2"/>
    <mergeCell ref="C5:F5"/>
    <mergeCell ref="P5:S5"/>
    <mergeCell ref="H5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2827F-3C5B-CB40-A718-E79F4BEAB462}">
  <dimension ref="B2:AJ240"/>
  <sheetViews>
    <sheetView topLeftCell="A24" zoomScale="68" workbookViewId="0">
      <selection activeCell="E67" sqref="E67"/>
    </sheetView>
  </sheetViews>
  <sheetFormatPr baseColWidth="10" defaultColWidth="11.5" defaultRowHeight="15"/>
  <cols>
    <col min="11" max="11" width="11.5" bestFit="1" customWidth="1"/>
    <col min="35" max="35" width="11.5" bestFit="1" customWidth="1"/>
    <col min="36" max="36" width="10.83203125" style="121" bestFit="1"/>
  </cols>
  <sheetData>
    <row r="2" spans="2:35">
      <c r="B2" s="361" t="s">
        <v>498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361"/>
      <c r="AF2" s="361"/>
      <c r="AG2" s="361"/>
      <c r="AH2" s="361"/>
      <c r="AI2" s="400"/>
    </row>
    <row r="3" spans="2:35"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U3" s="361"/>
      <c r="V3" s="361"/>
      <c r="W3" s="361"/>
      <c r="X3" s="361"/>
      <c r="Y3" s="361"/>
      <c r="Z3" s="361"/>
      <c r="AA3" s="361"/>
      <c r="AB3" s="361"/>
      <c r="AC3" s="361"/>
      <c r="AD3" s="361"/>
      <c r="AE3" s="361"/>
      <c r="AF3" s="361"/>
      <c r="AG3" s="361"/>
      <c r="AH3" s="361"/>
      <c r="AI3" s="400"/>
    </row>
    <row r="4" spans="2:35">
      <c r="B4" s="399" t="s">
        <v>499</v>
      </c>
      <c r="C4" s="399"/>
      <c r="D4" s="399"/>
      <c r="E4" s="399"/>
      <c r="F4" s="399"/>
      <c r="G4" s="399"/>
      <c r="H4" s="399"/>
      <c r="K4" s="399" t="s">
        <v>500</v>
      </c>
      <c r="L4" s="399"/>
      <c r="M4" s="399"/>
      <c r="N4" s="399"/>
      <c r="O4" s="399"/>
      <c r="P4" s="399"/>
      <c r="S4" s="399" t="s">
        <v>501</v>
      </c>
      <c r="T4" s="399"/>
      <c r="U4" s="399"/>
      <c r="V4" s="399"/>
      <c r="W4" s="399"/>
      <c r="X4" s="399"/>
      <c r="Y4" s="399"/>
      <c r="AB4" s="399" t="s">
        <v>502</v>
      </c>
      <c r="AC4" s="399"/>
      <c r="AD4" s="399"/>
      <c r="AE4" s="399"/>
      <c r="AF4" s="399"/>
      <c r="AG4" s="399"/>
    </row>
    <row r="6" spans="2:35">
      <c r="B6" s="70" t="s">
        <v>503</v>
      </c>
      <c r="K6" s="70" t="s">
        <v>504</v>
      </c>
      <c r="S6" s="70" t="s">
        <v>505</v>
      </c>
      <c r="AB6" s="70" t="s">
        <v>506</v>
      </c>
    </row>
    <row r="7" spans="2:35" ht="16" thickBot="1">
      <c r="B7" s="70" t="s">
        <v>507</v>
      </c>
      <c r="K7" s="70" t="s">
        <v>507</v>
      </c>
      <c r="S7" s="70" t="s">
        <v>507</v>
      </c>
      <c r="AB7" s="70" t="s">
        <v>507</v>
      </c>
    </row>
    <row r="8" spans="2:35" ht="16" thickBot="1">
      <c r="B8" s="97"/>
      <c r="C8" s="97" t="s">
        <v>508</v>
      </c>
      <c r="D8" s="72">
        <v>2022</v>
      </c>
      <c r="E8" s="72">
        <v>2021</v>
      </c>
      <c r="F8" s="72">
        <v>2020</v>
      </c>
      <c r="G8" s="72">
        <v>2019</v>
      </c>
      <c r="H8" s="72">
        <v>2018</v>
      </c>
      <c r="K8" s="71"/>
      <c r="L8" s="72">
        <v>2022</v>
      </c>
      <c r="M8" s="72">
        <v>2021</v>
      </c>
      <c r="N8" s="72">
        <v>2020</v>
      </c>
      <c r="O8" s="72">
        <v>2019</v>
      </c>
      <c r="P8" s="72">
        <v>2018</v>
      </c>
      <c r="S8" s="402"/>
      <c r="T8" s="402"/>
      <c r="U8" s="72">
        <v>2022</v>
      </c>
      <c r="V8" s="72">
        <v>2021</v>
      </c>
      <c r="W8" s="72">
        <v>2020</v>
      </c>
      <c r="X8" s="72">
        <v>2019</v>
      </c>
      <c r="Y8" s="72">
        <v>2018</v>
      </c>
      <c r="AB8" s="71"/>
      <c r="AC8" s="72">
        <v>2022</v>
      </c>
      <c r="AD8" s="72">
        <v>2021</v>
      </c>
      <c r="AE8" s="72">
        <v>2020</v>
      </c>
      <c r="AF8" s="72">
        <v>2019</v>
      </c>
      <c r="AG8" s="72">
        <v>2018</v>
      </c>
    </row>
    <row r="9" spans="2:35" ht="16" thickBot="1">
      <c r="B9" s="73" t="s">
        <v>509</v>
      </c>
      <c r="C9" s="74">
        <v>69</v>
      </c>
      <c r="D9" s="74">
        <v>63</v>
      </c>
      <c r="E9" s="75">
        <v>89</v>
      </c>
      <c r="F9" s="74">
        <v>62</v>
      </c>
      <c r="G9" s="76">
        <v>98</v>
      </c>
      <c r="H9" s="76">
        <v>99</v>
      </c>
      <c r="K9" s="73" t="s">
        <v>509</v>
      </c>
      <c r="L9" s="74" t="s">
        <v>510</v>
      </c>
      <c r="M9" s="75" t="s">
        <v>511</v>
      </c>
      <c r="N9" s="74" t="s">
        <v>512</v>
      </c>
      <c r="O9" s="76" t="s">
        <v>513</v>
      </c>
      <c r="P9" s="76" t="s">
        <v>514</v>
      </c>
      <c r="S9" s="403" t="s">
        <v>509</v>
      </c>
      <c r="T9" s="403"/>
      <c r="U9" s="74" t="s">
        <v>510</v>
      </c>
      <c r="V9" s="75" t="s">
        <v>511</v>
      </c>
      <c r="W9" s="74" t="s">
        <v>512</v>
      </c>
      <c r="X9" s="76" t="s">
        <v>513</v>
      </c>
      <c r="Y9" s="76" t="s">
        <v>514</v>
      </c>
      <c r="AB9" s="73" t="s">
        <v>509</v>
      </c>
      <c r="AC9" s="74" t="s">
        <v>510</v>
      </c>
      <c r="AD9" s="75" t="s">
        <v>511</v>
      </c>
      <c r="AE9" s="74" t="s">
        <v>512</v>
      </c>
      <c r="AF9" s="76" t="s">
        <v>513</v>
      </c>
      <c r="AG9" s="76" t="s">
        <v>514</v>
      </c>
    </row>
    <row r="10" spans="2:35" ht="16" thickBot="1">
      <c r="B10" s="98" t="s">
        <v>64</v>
      </c>
      <c r="C10" s="79"/>
      <c r="D10" s="99"/>
      <c r="E10" s="99"/>
      <c r="F10" s="99"/>
      <c r="G10" s="99"/>
      <c r="H10" s="99"/>
      <c r="K10" s="77" t="s">
        <v>515</v>
      </c>
      <c r="L10" s="78" t="s">
        <v>516</v>
      </c>
      <c r="M10" s="78" t="s">
        <v>517</v>
      </c>
      <c r="N10" s="78" t="s">
        <v>518</v>
      </c>
      <c r="O10" s="78" t="s">
        <v>519</v>
      </c>
      <c r="P10" s="78" t="s">
        <v>520</v>
      </c>
      <c r="S10" s="404" t="s">
        <v>515</v>
      </c>
      <c r="T10" s="404"/>
      <c r="U10" s="78" t="s">
        <v>516</v>
      </c>
      <c r="V10" s="78" t="s">
        <v>517</v>
      </c>
      <c r="W10" s="78" t="s">
        <v>518</v>
      </c>
      <c r="X10" s="78" t="s">
        <v>519</v>
      </c>
      <c r="Y10" s="78" t="s">
        <v>520</v>
      </c>
      <c r="AB10" s="77" t="s">
        <v>515</v>
      </c>
      <c r="AC10" s="78" t="s">
        <v>516</v>
      </c>
      <c r="AD10" s="78" t="s">
        <v>517</v>
      </c>
      <c r="AE10" s="78" t="s">
        <v>518</v>
      </c>
      <c r="AF10" s="78" t="s">
        <v>519</v>
      </c>
      <c r="AG10" s="78" t="s">
        <v>520</v>
      </c>
    </row>
    <row r="11" spans="2:35" ht="16" thickBot="1">
      <c r="B11" s="100" t="s">
        <v>187</v>
      </c>
      <c r="C11" s="101" t="s">
        <v>521</v>
      </c>
      <c r="D11" s="102">
        <v>0.67400000000000004</v>
      </c>
      <c r="E11" s="102">
        <v>0.68200000000000005</v>
      </c>
      <c r="F11" s="102">
        <v>0.65700000000000003</v>
      </c>
      <c r="G11" s="102">
        <v>0.66500000000000004</v>
      </c>
      <c r="H11" s="102">
        <v>0.66900000000000004</v>
      </c>
      <c r="K11" s="79" t="s">
        <v>522</v>
      </c>
      <c r="L11" s="79"/>
      <c r="M11" s="79"/>
      <c r="N11" s="79"/>
      <c r="O11" s="79"/>
      <c r="P11" s="79"/>
      <c r="S11" s="405" t="s">
        <v>523</v>
      </c>
      <c r="T11" s="406"/>
      <c r="U11" s="151">
        <v>94943</v>
      </c>
      <c r="V11" s="151">
        <v>93775</v>
      </c>
      <c r="W11" s="151">
        <v>82584</v>
      </c>
      <c r="X11" s="151">
        <v>82059</v>
      </c>
      <c r="Y11" s="152">
        <v>81581</v>
      </c>
      <c r="AB11" s="79" t="s">
        <v>524</v>
      </c>
      <c r="AC11" s="79"/>
      <c r="AD11" s="79"/>
      <c r="AE11" s="79"/>
      <c r="AF11" s="79"/>
      <c r="AG11" s="79"/>
    </row>
    <row r="12" spans="2:35" ht="16" customHeight="1" thickBot="1">
      <c r="B12" s="100" t="s">
        <v>525</v>
      </c>
      <c r="C12" s="101" t="s">
        <v>526</v>
      </c>
      <c r="D12" s="102">
        <v>0.375</v>
      </c>
      <c r="E12" s="102">
        <v>0.36099999999999999</v>
      </c>
      <c r="F12" s="102">
        <v>0.34200000000000003</v>
      </c>
      <c r="G12" s="102">
        <v>0.377</v>
      </c>
      <c r="H12" s="102">
        <v>0.36</v>
      </c>
      <c r="K12" s="132" t="s">
        <v>527</v>
      </c>
      <c r="L12" s="133">
        <v>23519</v>
      </c>
      <c r="M12" s="133">
        <v>31608</v>
      </c>
      <c r="N12" s="133">
        <v>25185</v>
      </c>
      <c r="O12" s="133">
        <v>19287</v>
      </c>
      <c r="P12" s="134">
        <v>19687</v>
      </c>
      <c r="S12" s="407" t="s">
        <v>528</v>
      </c>
      <c r="T12" s="407"/>
      <c r="U12" s="93">
        <v>94943</v>
      </c>
      <c r="V12" s="93">
        <v>93775</v>
      </c>
      <c r="W12" s="93">
        <v>82584</v>
      </c>
      <c r="X12" s="93">
        <v>82059</v>
      </c>
      <c r="Y12" s="93">
        <v>81581</v>
      </c>
      <c r="AB12" s="125" t="s">
        <v>529</v>
      </c>
      <c r="AC12" s="126">
        <v>17941</v>
      </c>
      <c r="AD12" s="126">
        <v>20878</v>
      </c>
      <c r="AE12" s="126">
        <v>14714</v>
      </c>
      <c r="AF12" s="126">
        <v>15119</v>
      </c>
      <c r="AG12" s="127">
        <v>15297</v>
      </c>
    </row>
    <row r="13" spans="2:35" ht="25.5" customHeight="1" thickBot="1">
      <c r="B13" s="100" t="s">
        <v>189</v>
      </c>
      <c r="C13" s="101" t="s">
        <v>530</v>
      </c>
      <c r="D13" s="102">
        <v>0.22900000000000001</v>
      </c>
      <c r="E13" s="102">
        <v>0.24299999999999999</v>
      </c>
      <c r="F13" s="102">
        <v>0.2</v>
      </c>
      <c r="G13" s="102">
        <v>0.21099999999999999</v>
      </c>
      <c r="H13" s="102">
        <v>0.221</v>
      </c>
      <c r="K13" s="131" t="s">
        <v>531</v>
      </c>
      <c r="L13" s="93">
        <v>4926</v>
      </c>
      <c r="M13" s="93">
        <v>2936</v>
      </c>
      <c r="N13" s="93">
        <v>2863</v>
      </c>
      <c r="O13" s="93">
        <v>2637</v>
      </c>
      <c r="P13" s="93">
        <v>2619</v>
      </c>
      <c r="S13" s="389" t="s">
        <v>532</v>
      </c>
      <c r="T13" s="389"/>
      <c r="U13" s="85" t="s">
        <v>533</v>
      </c>
      <c r="V13" s="85" t="s">
        <v>533</v>
      </c>
      <c r="W13" s="85" t="s">
        <v>533</v>
      </c>
      <c r="X13" s="85" t="s">
        <v>533</v>
      </c>
      <c r="Y13" s="85" t="s">
        <v>533</v>
      </c>
      <c r="AB13" s="135" t="s">
        <v>534</v>
      </c>
      <c r="AC13" s="136">
        <v>6970</v>
      </c>
      <c r="AD13" s="136">
        <v>7390</v>
      </c>
      <c r="AE13" s="136">
        <v>7231</v>
      </c>
      <c r="AF13" s="136">
        <v>7009</v>
      </c>
      <c r="AG13" s="136">
        <v>6929</v>
      </c>
    </row>
    <row r="14" spans="2:35" ht="16" customHeight="1" thickBot="1">
      <c r="B14" s="100" t="s">
        <v>535</v>
      </c>
      <c r="C14" s="103" t="s">
        <v>536</v>
      </c>
      <c r="D14" s="102">
        <v>0.22900000000000001</v>
      </c>
      <c r="E14" s="102">
        <v>0.24299999999999999</v>
      </c>
      <c r="F14" s="102">
        <v>0.2</v>
      </c>
      <c r="G14" s="102">
        <v>0.21099999999999999</v>
      </c>
      <c r="H14" s="102">
        <v>0.221</v>
      </c>
      <c r="K14" s="82" t="s">
        <v>537</v>
      </c>
      <c r="L14" s="83">
        <v>5368</v>
      </c>
      <c r="M14" s="83">
        <v>1901</v>
      </c>
      <c r="N14" s="83">
        <v>2102</v>
      </c>
      <c r="O14" s="83">
        <v>2864</v>
      </c>
      <c r="P14" s="83">
        <v>3397</v>
      </c>
      <c r="S14" s="389" t="s">
        <v>464</v>
      </c>
      <c r="T14" s="389"/>
      <c r="U14" s="85">
        <v>94943</v>
      </c>
      <c r="V14" s="85">
        <v>93775</v>
      </c>
      <c r="W14" s="85">
        <v>82584</v>
      </c>
      <c r="X14" s="85">
        <v>82059</v>
      </c>
      <c r="Y14" s="85">
        <v>81581</v>
      </c>
      <c r="AB14" s="82" t="s">
        <v>538</v>
      </c>
      <c r="AC14" s="83">
        <v>6970</v>
      </c>
      <c r="AD14" s="83">
        <v>7390</v>
      </c>
      <c r="AE14" s="83">
        <v>7231</v>
      </c>
      <c r="AF14" s="83">
        <v>7009</v>
      </c>
      <c r="AG14" s="83">
        <v>6929</v>
      </c>
    </row>
    <row r="15" spans="2:35" ht="16" thickBot="1">
      <c r="B15" s="100" t="s">
        <v>539</v>
      </c>
      <c r="C15" s="101" t="s">
        <v>540</v>
      </c>
      <c r="D15" s="102">
        <v>0.17399999999999999</v>
      </c>
      <c r="E15" s="102">
        <v>8.3000000000000004E-2</v>
      </c>
      <c r="F15" s="102">
        <v>0.126</v>
      </c>
      <c r="G15" s="102">
        <v>0.127</v>
      </c>
      <c r="H15" s="102">
        <v>0.15</v>
      </c>
      <c r="K15" s="82" t="s">
        <v>541</v>
      </c>
      <c r="L15" s="83">
        <v>13225</v>
      </c>
      <c r="M15" s="83">
        <v>26771</v>
      </c>
      <c r="N15" s="83">
        <v>20220</v>
      </c>
      <c r="O15" s="83">
        <v>13786</v>
      </c>
      <c r="P15" s="83">
        <v>13671</v>
      </c>
      <c r="S15" s="391" t="s">
        <v>542</v>
      </c>
      <c r="T15" s="391"/>
      <c r="U15" s="81">
        <v>30989</v>
      </c>
      <c r="V15" s="81">
        <v>29855</v>
      </c>
      <c r="W15" s="81">
        <v>28327</v>
      </c>
      <c r="X15" s="81">
        <v>27456</v>
      </c>
      <c r="Y15" s="81">
        <v>26986</v>
      </c>
      <c r="AB15" s="84" t="s">
        <v>543</v>
      </c>
      <c r="AC15" s="85" t="s">
        <v>533</v>
      </c>
      <c r="AD15" s="85" t="s">
        <v>533</v>
      </c>
      <c r="AE15" s="85" t="s">
        <v>533</v>
      </c>
      <c r="AF15" s="85" t="s">
        <v>533</v>
      </c>
      <c r="AG15" s="85" t="s">
        <v>533</v>
      </c>
    </row>
    <row r="16" spans="2:35" ht="16" customHeight="1" thickBot="1">
      <c r="B16" s="100" t="s">
        <v>544</v>
      </c>
      <c r="C16" s="103" t="s">
        <v>545</v>
      </c>
      <c r="D16" s="102">
        <v>0.189</v>
      </c>
      <c r="E16" s="102">
        <v>0.223</v>
      </c>
      <c r="F16" s="102">
        <v>0.17499999999999999</v>
      </c>
      <c r="G16" s="102">
        <v>0.184</v>
      </c>
      <c r="H16" s="102">
        <v>0.188</v>
      </c>
      <c r="K16" s="132" t="s">
        <v>546</v>
      </c>
      <c r="L16" s="133">
        <v>16160</v>
      </c>
      <c r="M16" s="133">
        <v>15283</v>
      </c>
      <c r="N16" s="133">
        <v>13576</v>
      </c>
      <c r="O16" s="133">
        <v>14481</v>
      </c>
      <c r="P16" s="134">
        <v>14098</v>
      </c>
      <c r="S16" s="388" t="s">
        <v>239</v>
      </c>
      <c r="T16" s="388"/>
      <c r="U16" s="83">
        <v>30989</v>
      </c>
      <c r="V16" s="83">
        <v>29855</v>
      </c>
      <c r="W16" s="83">
        <v>28327</v>
      </c>
      <c r="X16" s="83">
        <v>27456</v>
      </c>
      <c r="Y16" s="83">
        <v>26986</v>
      </c>
      <c r="AB16" s="84" t="s">
        <v>547</v>
      </c>
      <c r="AC16" s="85">
        <v>-1663</v>
      </c>
      <c r="AD16" s="85">
        <v>-2079</v>
      </c>
      <c r="AE16" s="85">
        <v>-1141</v>
      </c>
      <c r="AF16" s="85">
        <v>-2476</v>
      </c>
      <c r="AG16" s="85">
        <v>-1016</v>
      </c>
    </row>
    <row r="17" spans="2:33" ht="16" thickBot="1">
      <c r="B17" s="98" t="s">
        <v>548</v>
      </c>
      <c r="C17" s="79"/>
      <c r="D17" s="99"/>
      <c r="E17" s="99"/>
      <c r="F17" s="99"/>
      <c r="G17" s="99"/>
      <c r="H17" s="99"/>
      <c r="K17" s="131" t="s">
        <v>549</v>
      </c>
      <c r="L17" s="93">
        <v>16363</v>
      </c>
      <c r="M17" s="93">
        <v>15513</v>
      </c>
      <c r="N17" s="93">
        <v>13869</v>
      </c>
      <c r="O17" s="93">
        <v>14707</v>
      </c>
      <c r="P17" s="93">
        <v>14346</v>
      </c>
      <c r="S17" s="389" t="s">
        <v>179</v>
      </c>
      <c r="T17" s="389"/>
      <c r="U17" s="85">
        <v>63954</v>
      </c>
      <c r="V17" s="85">
        <v>63920</v>
      </c>
      <c r="W17" s="85">
        <v>54257</v>
      </c>
      <c r="X17" s="85">
        <v>54603</v>
      </c>
      <c r="Y17" s="85">
        <v>54595</v>
      </c>
      <c r="AB17" s="80" t="s">
        <v>550</v>
      </c>
      <c r="AC17" s="81">
        <v>1957</v>
      </c>
      <c r="AD17" s="81">
        <v>1459</v>
      </c>
      <c r="AE17" s="81">
        <v>42</v>
      </c>
      <c r="AF17" s="81">
        <v>-101</v>
      </c>
      <c r="AG17" s="81">
        <v>988</v>
      </c>
    </row>
    <row r="18" spans="2:33" ht="16" thickBot="1">
      <c r="B18" s="100" t="s">
        <v>83</v>
      </c>
      <c r="C18" s="101" t="s">
        <v>551</v>
      </c>
      <c r="D18" s="104">
        <v>0.51</v>
      </c>
      <c r="E18" s="104">
        <v>0.53</v>
      </c>
      <c r="F18" s="104">
        <v>0.5</v>
      </c>
      <c r="G18" s="104">
        <v>0.53</v>
      </c>
      <c r="H18" s="104">
        <v>0.53</v>
      </c>
      <c r="K18" s="82" t="s">
        <v>552</v>
      </c>
      <c r="L18" s="83">
        <v>-203</v>
      </c>
      <c r="M18" s="83">
        <v>-230</v>
      </c>
      <c r="N18" s="83">
        <v>-293</v>
      </c>
      <c r="O18" s="83">
        <v>-226</v>
      </c>
      <c r="P18" s="83">
        <v>-248</v>
      </c>
      <c r="S18" s="397"/>
      <c r="T18" s="397"/>
      <c r="U18" s="86"/>
      <c r="V18" s="86"/>
      <c r="W18" s="86"/>
      <c r="X18" s="86"/>
      <c r="Y18" s="86"/>
      <c r="AB18" s="82" t="s">
        <v>553</v>
      </c>
      <c r="AC18" s="83">
        <v>836</v>
      </c>
      <c r="AD18" s="83">
        <v>372</v>
      </c>
      <c r="AE18" s="83">
        <v>122</v>
      </c>
      <c r="AF18" s="83">
        <v>-1058</v>
      </c>
      <c r="AG18" s="83">
        <v>41</v>
      </c>
    </row>
    <row r="19" spans="2:33" ht="19.5" customHeight="1" thickBot="1">
      <c r="B19" s="100" t="s">
        <v>554</v>
      </c>
      <c r="C19" s="103" t="s">
        <v>536</v>
      </c>
      <c r="D19" s="102">
        <v>0.22900000000000001</v>
      </c>
      <c r="E19" s="102">
        <v>0.24299999999999999</v>
      </c>
      <c r="F19" s="102">
        <v>0.2</v>
      </c>
      <c r="G19" s="102">
        <v>0.21099999999999999</v>
      </c>
      <c r="H19" s="102">
        <v>0.221</v>
      </c>
      <c r="K19" s="84" t="s">
        <v>555</v>
      </c>
      <c r="L19" s="85">
        <v>16160</v>
      </c>
      <c r="M19" s="85">
        <v>15283</v>
      </c>
      <c r="N19" s="85">
        <v>13576</v>
      </c>
      <c r="O19" s="85">
        <v>14481</v>
      </c>
      <c r="P19" s="85">
        <v>14098</v>
      </c>
      <c r="S19" s="391" t="s">
        <v>556</v>
      </c>
      <c r="T19" s="391"/>
      <c r="U19" s="81">
        <v>24765</v>
      </c>
      <c r="V19" s="81">
        <v>24659</v>
      </c>
      <c r="W19" s="81">
        <v>22084</v>
      </c>
      <c r="X19" s="81">
        <v>22178</v>
      </c>
      <c r="Y19" s="81">
        <v>22540</v>
      </c>
      <c r="AB19" s="82" t="s">
        <v>557</v>
      </c>
      <c r="AC19" s="83">
        <v>1121</v>
      </c>
      <c r="AD19" s="83">
        <v>1087</v>
      </c>
      <c r="AE19" s="83">
        <v>-80</v>
      </c>
      <c r="AF19" s="83">
        <v>957</v>
      </c>
      <c r="AG19" s="83">
        <v>947</v>
      </c>
    </row>
    <row r="20" spans="2:33" ht="16" customHeight="1" thickBot="1">
      <c r="B20" s="100" t="s">
        <v>558</v>
      </c>
      <c r="C20" s="103" t="s">
        <v>559</v>
      </c>
      <c r="D20" s="102">
        <v>0.11799999999999999</v>
      </c>
      <c r="E20" s="102">
        <v>0.128</v>
      </c>
      <c r="F20" s="102">
        <v>9.9000000000000005E-2</v>
      </c>
      <c r="G20" s="102">
        <v>0.112</v>
      </c>
      <c r="H20" s="102">
        <v>0.11600000000000001</v>
      </c>
      <c r="K20" s="132" t="s">
        <v>560</v>
      </c>
      <c r="L20" s="133">
        <v>12483</v>
      </c>
      <c r="M20" s="133">
        <v>10387</v>
      </c>
      <c r="N20" s="133">
        <v>9344</v>
      </c>
      <c r="O20" s="133">
        <v>9020</v>
      </c>
      <c r="P20" s="134">
        <v>8599</v>
      </c>
      <c r="S20" s="388" t="s">
        <v>561</v>
      </c>
      <c r="T20" s="388"/>
      <c r="U20" s="83">
        <v>22665</v>
      </c>
      <c r="V20" s="83">
        <v>21959</v>
      </c>
      <c r="W20" s="83">
        <v>19984</v>
      </c>
      <c r="X20" s="83">
        <v>19978</v>
      </c>
      <c r="Y20" s="83">
        <v>19940</v>
      </c>
      <c r="AB20" s="80" t="s">
        <v>562</v>
      </c>
      <c r="AC20" s="81">
        <v>-4011</v>
      </c>
      <c r="AD20" s="81">
        <v>-4238</v>
      </c>
      <c r="AE20" s="81">
        <v>2690</v>
      </c>
      <c r="AF20" s="81">
        <v>3865</v>
      </c>
      <c r="AG20" s="81">
        <v>3</v>
      </c>
    </row>
    <row r="21" spans="2:33" ht="16" customHeight="1" thickBot="1">
      <c r="B21" s="100" t="s">
        <v>563</v>
      </c>
      <c r="C21" s="101" t="s">
        <v>564</v>
      </c>
      <c r="D21" s="104">
        <v>2.44</v>
      </c>
      <c r="E21" s="104">
        <v>2.46</v>
      </c>
      <c r="F21" s="104">
        <v>2.76</v>
      </c>
      <c r="G21" s="104">
        <v>2.65</v>
      </c>
      <c r="H21" s="104">
        <v>2.56</v>
      </c>
      <c r="K21" s="131" t="s">
        <v>565</v>
      </c>
      <c r="L21" s="93">
        <v>8713</v>
      </c>
      <c r="M21" s="93">
        <v>6508</v>
      </c>
      <c r="N21" s="93">
        <v>5894</v>
      </c>
      <c r="O21" s="93">
        <v>6071</v>
      </c>
      <c r="P21" s="93">
        <v>5376</v>
      </c>
      <c r="S21" s="398" t="s">
        <v>566</v>
      </c>
      <c r="T21" s="398"/>
      <c r="U21" s="83">
        <v>2100</v>
      </c>
      <c r="V21" s="83">
        <v>2700</v>
      </c>
      <c r="W21" s="83">
        <v>2100</v>
      </c>
      <c r="X21" s="83">
        <v>2200</v>
      </c>
      <c r="Y21" s="83">
        <v>2600</v>
      </c>
      <c r="AB21" s="82" t="s">
        <v>567</v>
      </c>
      <c r="AC21" s="83">
        <v>-1290</v>
      </c>
      <c r="AD21" s="83">
        <v>-2402</v>
      </c>
      <c r="AE21" s="83">
        <v>774</v>
      </c>
      <c r="AF21" s="83">
        <v>-289</v>
      </c>
      <c r="AG21" s="83">
        <v>-1185</v>
      </c>
    </row>
    <row r="22" spans="2:33" ht="16" thickBot="1">
      <c r="B22" s="100" t="s">
        <v>568</v>
      </c>
      <c r="C22" s="103" t="s">
        <v>569</v>
      </c>
      <c r="D22" s="102">
        <v>0.28799999999999998</v>
      </c>
      <c r="E22" s="102">
        <v>0.33200000000000002</v>
      </c>
      <c r="F22" s="102">
        <v>0.26900000000000002</v>
      </c>
      <c r="G22" s="102">
        <v>0.29099999999999998</v>
      </c>
      <c r="H22" s="102">
        <v>0.3</v>
      </c>
      <c r="K22" s="82" t="s">
        <v>570</v>
      </c>
      <c r="L22" s="83">
        <v>1700</v>
      </c>
      <c r="M22" s="83">
        <v>2287</v>
      </c>
      <c r="N22" s="83">
        <v>2040</v>
      </c>
      <c r="O22" s="83">
        <v>1832</v>
      </c>
      <c r="P22" s="83">
        <v>2109</v>
      </c>
      <c r="S22" s="393" t="s">
        <v>571</v>
      </c>
      <c r="T22" s="394"/>
      <c r="U22" s="129">
        <v>14603</v>
      </c>
      <c r="V22" s="129">
        <v>14714</v>
      </c>
      <c r="W22" s="129">
        <v>12159</v>
      </c>
      <c r="X22" s="129">
        <v>11355</v>
      </c>
      <c r="Y22" s="130">
        <v>10775</v>
      </c>
      <c r="AB22" s="82" t="s">
        <v>169</v>
      </c>
      <c r="AC22" s="83">
        <v>-2527</v>
      </c>
      <c r="AD22" s="83">
        <v>-1248</v>
      </c>
      <c r="AE22" s="83">
        <v>-265</v>
      </c>
      <c r="AF22" s="83">
        <v>-277</v>
      </c>
      <c r="AG22" s="83">
        <v>-644</v>
      </c>
    </row>
    <row r="23" spans="2:33" ht="16" thickBot="1">
      <c r="B23" s="100" t="s">
        <v>572</v>
      </c>
      <c r="C23" s="101" t="s">
        <v>573</v>
      </c>
      <c r="D23" s="104">
        <v>0.83</v>
      </c>
      <c r="E23" s="104">
        <v>0.92</v>
      </c>
      <c r="F23" s="104">
        <v>0.89</v>
      </c>
      <c r="G23" s="104">
        <v>0.87</v>
      </c>
      <c r="H23" s="104">
        <v>0.85</v>
      </c>
      <c r="K23" s="82" t="s">
        <v>574</v>
      </c>
      <c r="L23" s="83">
        <v>2070</v>
      </c>
      <c r="M23" s="83">
        <v>1592</v>
      </c>
      <c r="N23" s="83">
        <v>1410</v>
      </c>
      <c r="O23" s="83">
        <v>1117</v>
      </c>
      <c r="P23" s="83">
        <v>1114</v>
      </c>
      <c r="S23" s="395" t="s">
        <v>575</v>
      </c>
      <c r="T23" s="395"/>
      <c r="U23" s="138" t="s">
        <v>533</v>
      </c>
      <c r="V23" s="138" t="s">
        <v>533</v>
      </c>
      <c r="W23" s="138" t="s">
        <v>533</v>
      </c>
      <c r="X23" s="138" t="s">
        <v>533</v>
      </c>
      <c r="Y23" s="138" t="s">
        <v>533</v>
      </c>
      <c r="AB23" s="82" t="s">
        <v>289</v>
      </c>
      <c r="AC23" s="83">
        <v>687</v>
      </c>
      <c r="AD23" s="83">
        <v>-1964</v>
      </c>
      <c r="AE23" s="83">
        <v>-3704</v>
      </c>
      <c r="AF23" s="83">
        <v>-1054</v>
      </c>
      <c r="AG23" s="83">
        <v>-275</v>
      </c>
    </row>
    <row r="24" spans="2:33" ht="16" thickBot="1">
      <c r="B24" s="100" t="s">
        <v>57</v>
      </c>
      <c r="C24" s="103" t="s">
        <v>576</v>
      </c>
      <c r="D24" s="102">
        <v>0.23799999999999999</v>
      </c>
      <c r="E24" s="102">
        <v>0.30399999999999999</v>
      </c>
      <c r="F24" s="102">
        <v>0.23499999999999999</v>
      </c>
      <c r="G24" s="102">
        <v>0.254</v>
      </c>
      <c r="H24" s="102">
        <v>0.255</v>
      </c>
      <c r="K24" s="128" t="s">
        <v>577</v>
      </c>
      <c r="L24" s="129">
        <v>3132</v>
      </c>
      <c r="M24" s="129">
        <v>3701</v>
      </c>
      <c r="N24" s="129">
        <v>3132</v>
      </c>
      <c r="O24" s="129">
        <v>2392</v>
      </c>
      <c r="P24" s="130">
        <v>2699</v>
      </c>
      <c r="S24" s="391" t="s">
        <v>578</v>
      </c>
      <c r="T24" s="391"/>
      <c r="U24" s="81">
        <v>276</v>
      </c>
      <c r="V24" s="81">
        <v>183</v>
      </c>
      <c r="W24" s="81">
        <v>201</v>
      </c>
      <c r="X24" s="81">
        <v>318</v>
      </c>
      <c r="Y24" s="81">
        <v>1005</v>
      </c>
      <c r="AB24" s="82" t="s">
        <v>579</v>
      </c>
      <c r="AC24" s="83">
        <v>1098</v>
      </c>
      <c r="AD24" s="83">
        <v>2437</v>
      </c>
      <c r="AE24" s="83">
        <v>5141</v>
      </c>
      <c r="AF24" s="83">
        <v>4060</v>
      </c>
      <c r="AG24" s="83">
        <v>3951</v>
      </c>
    </row>
    <row r="25" spans="2:33" ht="16" thickBot="1">
      <c r="B25" s="100" t="s">
        <v>580</v>
      </c>
      <c r="C25" s="101" t="s">
        <v>573</v>
      </c>
      <c r="D25" s="104">
        <v>0.35</v>
      </c>
      <c r="E25" s="104">
        <v>0.47</v>
      </c>
      <c r="F25" s="104">
        <v>0.27</v>
      </c>
      <c r="G25" s="104">
        <v>0.34</v>
      </c>
      <c r="H25" s="104">
        <v>0.38</v>
      </c>
      <c r="K25" s="135" t="s">
        <v>581</v>
      </c>
      <c r="L25" s="136" t="s">
        <v>533</v>
      </c>
      <c r="M25" s="136" t="s">
        <v>533</v>
      </c>
      <c r="N25" s="136">
        <v>0</v>
      </c>
      <c r="O25" s="136">
        <v>94</v>
      </c>
      <c r="P25" s="136">
        <v>950</v>
      </c>
      <c r="S25" s="388" t="s">
        <v>582</v>
      </c>
      <c r="T25" s="388"/>
      <c r="U25" s="83">
        <v>325</v>
      </c>
      <c r="V25" s="83">
        <v>232</v>
      </c>
      <c r="W25" s="83">
        <v>264</v>
      </c>
      <c r="X25" s="83">
        <v>388</v>
      </c>
      <c r="Y25" s="83">
        <v>1091</v>
      </c>
      <c r="AB25" s="82" t="s">
        <v>348</v>
      </c>
      <c r="AC25" s="83">
        <v>-1979</v>
      </c>
      <c r="AD25" s="83">
        <v>-1061</v>
      </c>
      <c r="AE25" s="83">
        <v>744</v>
      </c>
      <c r="AF25" s="83">
        <v>1425</v>
      </c>
      <c r="AG25" s="83">
        <v>-1844</v>
      </c>
    </row>
    <row r="26" spans="2:33" ht="16" thickBot="1">
      <c r="B26" s="100" t="s">
        <v>583</v>
      </c>
      <c r="C26" s="103" t="s">
        <v>584</v>
      </c>
      <c r="D26" s="102">
        <v>8.3000000000000004E-2</v>
      </c>
      <c r="E26" s="102">
        <v>0.14299999999999999</v>
      </c>
      <c r="F26" s="102">
        <v>6.4000000000000001E-2</v>
      </c>
      <c r="G26" s="102">
        <v>8.6999999999999994E-2</v>
      </c>
      <c r="H26" s="102">
        <v>9.7000000000000003E-2</v>
      </c>
      <c r="K26" s="82" t="s">
        <v>585</v>
      </c>
      <c r="L26" s="83" t="s">
        <v>533</v>
      </c>
      <c r="M26" s="83" t="s">
        <v>533</v>
      </c>
      <c r="N26" s="83">
        <v>0</v>
      </c>
      <c r="O26" s="83">
        <v>94</v>
      </c>
      <c r="P26" s="83">
        <v>950</v>
      </c>
      <c r="S26" s="388" t="s">
        <v>586</v>
      </c>
      <c r="T26" s="388"/>
      <c r="U26" s="83">
        <v>-49</v>
      </c>
      <c r="V26" s="83">
        <v>-49</v>
      </c>
      <c r="W26" s="83">
        <v>-63</v>
      </c>
      <c r="X26" s="83">
        <v>-70</v>
      </c>
      <c r="Y26" s="83">
        <v>-86</v>
      </c>
      <c r="AB26" s="125" t="s">
        <v>587</v>
      </c>
      <c r="AC26" s="126">
        <v>21194</v>
      </c>
      <c r="AD26" s="126">
        <v>23410</v>
      </c>
      <c r="AE26" s="126">
        <v>23536</v>
      </c>
      <c r="AF26" s="126">
        <v>23416</v>
      </c>
      <c r="AG26" s="127">
        <v>22201</v>
      </c>
    </row>
    <row r="27" spans="2:33" ht="16" customHeight="1" thickBot="1">
      <c r="B27" s="98" t="s">
        <v>71</v>
      </c>
      <c r="C27" s="79"/>
      <c r="D27" s="99"/>
      <c r="E27" s="99"/>
      <c r="F27" s="99"/>
      <c r="G27" s="99"/>
      <c r="H27" s="99"/>
      <c r="K27" s="125" t="s">
        <v>588</v>
      </c>
      <c r="L27" s="126">
        <v>55294</v>
      </c>
      <c r="M27" s="126">
        <v>60979</v>
      </c>
      <c r="N27" s="126">
        <v>51237</v>
      </c>
      <c r="O27" s="126">
        <v>45274</v>
      </c>
      <c r="P27" s="127">
        <v>46033</v>
      </c>
      <c r="S27" s="391" t="s">
        <v>589</v>
      </c>
      <c r="T27" s="391"/>
      <c r="U27" s="81">
        <v>538</v>
      </c>
      <c r="V27" s="81">
        <v>-553</v>
      </c>
      <c r="W27" s="81">
        <v>-611</v>
      </c>
      <c r="X27" s="81">
        <v>-501</v>
      </c>
      <c r="Y27" s="81">
        <v>-611</v>
      </c>
      <c r="AB27" s="124"/>
      <c r="AC27" s="124"/>
      <c r="AD27" s="124"/>
      <c r="AE27" s="124"/>
      <c r="AF27" s="124"/>
      <c r="AG27" s="124"/>
    </row>
    <row r="28" spans="2:33" ht="16" customHeight="1" thickBot="1">
      <c r="B28" s="100" t="s">
        <v>11</v>
      </c>
      <c r="C28" s="101" t="s">
        <v>590</v>
      </c>
      <c r="D28" s="104">
        <v>0.77</v>
      </c>
      <c r="E28" s="104">
        <v>1.1200000000000001</v>
      </c>
      <c r="F28" s="104">
        <v>0.99</v>
      </c>
      <c r="G28" s="104">
        <v>1.01</v>
      </c>
      <c r="H28" s="104">
        <v>1.2</v>
      </c>
      <c r="K28" s="124"/>
      <c r="L28" s="124"/>
      <c r="M28" s="124"/>
      <c r="N28" s="124"/>
      <c r="O28" s="124"/>
      <c r="P28" s="124"/>
      <c r="S28" s="388" t="s">
        <v>591</v>
      </c>
      <c r="T28" s="388"/>
      <c r="U28" s="83">
        <v>-490</v>
      </c>
      <c r="V28" s="83">
        <v>-53</v>
      </c>
      <c r="W28" s="83">
        <v>-111</v>
      </c>
      <c r="X28" s="83">
        <v>-357</v>
      </c>
      <c r="Y28" s="83">
        <v>-611</v>
      </c>
      <c r="AB28" s="79" t="s">
        <v>592</v>
      </c>
      <c r="AC28" s="79"/>
      <c r="AD28" s="79"/>
      <c r="AE28" s="79"/>
      <c r="AF28" s="79"/>
      <c r="AG28" s="79"/>
    </row>
    <row r="29" spans="2:33" ht="16" customHeight="1" thickBot="1">
      <c r="B29" s="100" t="s">
        <v>9</v>
      </c>
      <c r="C29" s="101" t="s">
        <v>593</v>
      </c>
      <c r="D29" s="104">
        <v>0.99</v>
      </c>
      <c r="E29" s="104">
        <v>1.35</v>
      </c>
      <c r="F29" s="104">
        <v>1.21</v>
      </c>
      <c r="G29" s="104">
        <v>1.26</v>
      </c>
      <c r="H29" s="104">
        <v>1.47</v>
      </c>
      <c r="K29" s="80" t="s">
        <v>594</v>
      </c>
      <c r="L29" s="81">
        <v>50353</v>
      </c>
      <c r="M29" s="81">
        <v>48579</v>
      </c>
      <c r="N29" s="81">
        <v>47804</v>
      </c>
      <c r="O29" s="81">
        <v>44289</v>
      </c>
      <c r="P29" s="81">
        <v>41851</v>
      </c>
      <c r="S29" s="388" t="s">
        <v>595</v>
      </c>
      <c r="T29" s="388"/>
      <c r="U29" s="83">
        <v>1028</v>
      </c>
      <c r="V29" s="83">
        <v>-500</v>
      </c>
      <c r="W29" s="83">
        <v>-500</v>
      </c>
      <c r="X29" s="83">
        <v>-144</v>
      </c>
      <c r="Y29" s="83" t="s">
        <v>533</v>
      </c>
      <c r="AB29" s="80" t="s">
        <v>596</v>
      </c>
      <c r="AC29" s="81">
        <v>-4009</v>
      </c>
      <c r="AD29" s="81">
        <v>-3652</v>
      </c>
      <c r="AE29" s="81">
        <v>-3347</v>
      </c>
      <c r="AF29" s="81">
        <v>-3498</v>
      </c>
      <c r="AG29" s="81">
        <v>-3670</v>
      </c>
    </row>
    <row r="30" spans="2:33" ht="16" customHeight="1" thickBot="1">
      <c r="B30" s="100" t="s">
        <v>597</v>
      </c>
      <c r="C30" s="101" t="s">
        <v>598</v>
      </c>
      <c r="D30" s="105">
        <v>103.8</v>
      </c>
      <c r="E30" s="105">
        <v>144.5</v>
      </c>
      <c r="F30" s="105">
        <v>104.1</v>
      </c>
      <c r="G30" s="105">
        <v>75.2</v>
      </c>
      <c r="H30" s="105">
        <v>22.3</v>
      </c>
      <c r="K30" s="82" t="s">
        <v>599</v>
      </c>
      <c r="L30" s="83">
        <v>12989</v>
      </c>
      <c r="M30" s="83">
        <v>12882</v>
      </c>
      <c r="N30" s="83">
        <v>12502</v>
      </c>
      <c r="O30" s="83">
        <v>11877</v>
      </c>
      <c r="P30" s="83">
        <v>11176</v>
      </c>
      <c r="S30" s="389" t="s">
        <v>600</v>
      </c>
      <c r="T30" s="389"/>
      <c r="U30" s="85" t="s">
        <v>533</v>
      </c>
      <c r="V30" s="85" t="s">
        <v>533</v>
      </c>
      <c r="W30" s="85" t="s">
        <v>533</v>
      </c>
      <c r="X30" s="85" t="s">
        <v>533</v>
      </c>
      <c r="Y30" s="85" t="s">
        <v>533</v>
      </c>
      <c r="AB30" s="82" t="s">
        <v>601</v>
      </c>
      <c r="AC30" s="83">
        <v>-4009</v>
      </c>
      <c r="AD30" s="83">
        <v>-3652</v>
      </c>
      <c r="AE30" s="83">
        <v>-3347</v>
      </c>
      <c r="AF30" s="83">
        <v>-3498</v>
      </c>
      <c r="AG30" s="83">
        <v>-3670</v>
      </c>
    </row>
    <row r="31" spans="2:33" ht="16" thickBot="1">
      <c r="B31" s="100" t="s">
        <v>602</v>
      </c>
      <c r="C31" s="101" t="s">
        <v>603</v>
      </c>
      <c r="D31" s="105">
        <v>61.3</v>
      </c>
      <c r="E31" s="105">
        <v>51.2</v>
      </c>
      <c r="F31" s="105">
        <v>64.2</v>
      </c>
      <c r="G31" s="105">
        <v>74</v>
      </c>
      <c r="H31" s="105">
        <v>79</v>
      </c>
      <c r="K31" s="82" t="s">
        <v>604</v>
      </c>
      <c r="L31" s="83">
        <v>859</v>
      </c>
      <c r="M31" s="83">
        <v>884</v>
      </c>
      <c r="N31" s="83">
        <v>882</v>
      </c>
      <c r="O31" s="83">
        <v>854</v>
      </c>
      <c r="P31" s="83">
        <v>807</v>
      </c>
      <c r="S31" s="389" t="s">
        <v>605</v>
      </c>
      <c r="T31" s="389"/>
      <c r="U31" s="85">
        <v>814</v>
      </c>
      <c r="V31" s="85">
        <v>-370</v>
      </c>
      <c r="W31" s="85">
        <v>-410</v>
      </c>
      <c r="X31" s="85">
        <v>-183</v>
      </c>
      <c r="Y31" s="85">
        <v>394</v>
      </c>
      <c r="AB31" s="80" t="s">
        <v>606</v>
      </c>
      <c r="AC31" s="81">
        <v>-8362</v>
      </c>
      <c r="AD31" s="81">
        <v>-5031</v>
      </c>
      <c r="AE31" s="81">
        <v>-17478</v>
      </c>
      <c r="AF31" s="81">
        <v>-2696</v>
      </c>
      <c r="AG31" s="81">
        <v>503</v>
      </c>
    </row>
    <row r="32" spans="2:33" ht="16" thickBot="1">
      <c r="B32" s="98" t="s">
        <v>77</v>
      </c>
      <c r="C32" s="79"/>
      <c r="D32" s="99"/>
      <c r="E32" s="99"/>
      <c r="F32" s="99"/>
      <c r="G32" s="99"/>
      <c r="H32" s="99"/>
      <c r="K32" s="82" t="s">
        <v>607</v>
      </c>
      <c r="L32" s="83">
        <v>30431</v>
      </c>
      <c r="M32" s="83">
        <v>29774</v>
      </c>
      <c r="N32" s="83">
        <v>29104</v>
      </c>
      <c r="O32" s="83">
        <v>26964</v>
      </c>
      <c r="P32" s="83">
        <v>25992</v>
      </c>
      <c r="S32" s="391" t="s">
        <v>608</v>
      </c>
      <c r="T32" s="391"/>
      <c r="U32" s="81">
        <v>5004</v>
      </c>
      <c r="V32" s="81">
        <v>4041</v>
      </c>
      <c r="W32" s="81">
        <v>4428</v>
      </c>
      <c r="X32" s="81">
        <v>1456</v>
      </c>
      <c r="Y32" s="81">
        <v>1826</v>
      </c>
      <c r="AB32" s="82" t="s">
        <v>609</v>
      </c>
      <c r="AC32" s="83">
        <v>-17652</v>
      </c>
      <c r="AD32" s="83">
        <v>-60</v>
      </c>
      <c r="AE32" s="83">
        <v>-7323</v>
      </c>
      <c r="AF32" s="83">
        <v>-5810</v>
      </c>
      <c r="AG32" s="83">
        <v>-899</v>
      </c>
    </row>
    <row r="33" spans="2:33" ht="16" thickBot="1">
      <c r="B33" s="100" t="s">
        <v>610</v>
      </c>
      <c r="C33" s="101" t="s">
        <v>564</v>
      </c>
      <c r="D33" s="104">
        <v>2.44</v>
      </c>
      <c r="E33" s="104">
        <v>2.46</v>
      </c>
      <c r="F33" s="104">
        <v>2.76</v>
      </c>
      <c r="G33" s="104">
        <v>2.65</v>
      </c>
      <c r="H33" s="104">
        <v>2.56</v>
      </c>
      <c r="K33" s="82" t="s">
        <v>611</v>
      </c>
      <c r="L33" s="83">
        <v>4974</v>
      </c>
      <c r="M33" s="83">
        <v>4139</v>
      </c>
      <c r="N33" s="83">
        <v>4316</v>
      </c>
      <c r="O33" s="83">
        <v>3637</v>
      </c>
      <c r="P33" s="83">
        <v>3876</v>
      </c>
      <c r="S33" s="388" t="s">
        <v>612</v>
      </c>
      <c r="T33" s="388"/>
      <c r="U33" s="83">
        <v>783</v>
      </c>
      <c r="V33" s="83">
        <v>900</v>
      </c>
      <c r="W33" s="83">
        <v>181</v>
      </c>
      <c r="X33" s="83">
        <v>890</v>
      </c>
      <c r="Y33" s="83">
        <v>1126</v>
      </c>
      <c r="AB33" s="82" t="s">
        <v>613</v>
      </c>
      <c r="AC33" s="83">
        <v>543</v>
      </c>
      <c r="AD33" s="83">
        <v>711</v>
      </c>
      <c r="AE33" s="83">
        <v>305</v>
      </c>
      <c r="AF33" s="83">
        <v>3265</v>
      </c>
      <c r="AG33" s="83">
        <v>3203</v>
      </c>
    </row>
    <row r="34" spans="2:33" ht="16" thickBot="1">
      <c r="B34" s="100" t="s">
        <v>614</v>
      </c>
      <c r="C34" s="101" t="s">
        <v>615</v>
      </c>
      <c r="D34" s="104">
        <v>0.52</v>
      </c>
      <c r="E34" s="104">
        <v>0.46</v>
      </c>
      <c r="F34" s="104">
        <v>0.56000000000000005</v>
      </c>
      <c r="G34" s="104">
        <v>0.47</v>
      </c>
      <c r="H34" s="104">
        <v>0.5</v>
      </c>
      <c r="K34" s="82" t="s">
        <v>616</v>
      </c>
      <c r="L34" s="83">
        <v>1100</v>
      </c>
      <c r="M34" s="83">
        <v>900</v>
      </c>
      <c r="N34" s="83">
        <v>1000</v>
      </c>
      <c r="O34" s="83">
        <v>957</v>
      </c>
      <c r="P34" s="83" t="s">
        <v>533</v>
      </c>
      <c r="S34" s="388" t="s">
        <v>617</v>
      </c>
      <c r="T34" s="388"/>
      <c r="U34" s="83">
        <v>521</v>
      </c>
      <c r="V34" s="83">
        <v>352</v>
      </c>
      <c r="W34" s="83">
        <v>447</v>
      </c>
      <c r="X34" s="83">
        <v>566</v>
      </c>
      <c r="Y34" s="83">
        <v>700</v>
      </c>
      <c r="AB34" s="82" t="s">
        <v>618</v>
      </c>
      <c r="AC34" s="83">
        <v>41609</v>
      </c>
      <c r="AD34" s="83">
        <v>25006</v>
      </c>
      <c r="AE34" s="83">
        <v>12137</v>
      </c>
      <c r="AF34" s="83">
        <v>3387</v>
      </c>
      <c r="AG34" s="83">
        <v>4289</v>
      </c>
    </row>
    <row r="35" spans="2:33" ht="16" customHeight="1" thickBot="1">
      <c r="B35" s="100" t="s">
        <v>619</v>
      </c>
      <c r="C35" s="101" t="s">
        <v>620</v>
      </c>
      <c r="D35" s="102">
        <v>0.23100000000000001</v>
      </c>
      <c r="E35" s="102">
        <v>0.27800000000000002</v>
      </c>
      <c r="F35" s="102">
        <v>0.33100000000000002</v>
      </c>
      <c r="G35" s="102">
        <v>0.30399999999999999</v>
      </c>
      <c r="H35" s="102">
        <v>0.309</v>
      </c>
      <c r="K35" s="80" t="s">
        <v>621</v>
      </c>
      <c r="L35" s="81">
        <v>20903</v>
      </c>
      <c r="M35" s="81">
        <v>19862</v>
      </c>
      <c r="N35" s="81">
        <v>19766</v>
      </c>
      <c r="O35" s="81">
        <v>18615</v>
      </c>
      <c r="P35" s="81">
        <v>17035</v>
      </c>
      <c r="S35" s="388" t="s">
        <v>622</v>
      </c>
      <c r="T35" s="388"/>
      <c r="U35" s="83">
        <v>900</v>
      </c>
      <c r="V35" s="83">
        <v>2300</v>
      </c>
      <c r="W35" s="83">
        <v>5100</v>
      </c>
      <c r="X35" s="83" t="s">
        <v>533</v>
      </c>
      <c r="Y35" s="83" t="s">
        <v>533</v>
      </c>
      <c r="AB35" s="82" t="s">
        <v>623</v>
      </c>
      <c r="AC35" s="83">
        <v>-249</v>
      </c>
      <c r="AD35" s="83">
        <v>214</v>
      </c>
      <c r="AE35" s="83">
        <v>-987</v>
      </c>
      <c r="AF35" s="83">
        <v>338</v>
      </c>
      <c r="AG35" s="83" t="s">
        <v>533</v>
      </c>
    </row>
    <row r="36" spans="2:33" ht="16" thickBot="1">
      <c r="B36" s="100" t="s">
        <v>624</v>
      </c>
      <c r="C36" s="101" t="s">
        <v>625</v>
      </c>
      <c r="D36" s="104">
        <v>0.26</v>
      </c>
      <c r="E36" s="104">
        <v>0.18</v>
      </c>
      <c r="F36" s="104">
        <v>0.33</v>
      </c>
      <c r="G36" s="104">
        <v>0.3</v>
      </c>
      <c r="H36" s="104">
        <v>0.45</v>
      </c>
      <c r="K36" s="82" t="s">
        <v>626</v>
      </c>
      <c r="L36" s="83">
        <v>-29450</v>
      </c>
      <c r="M36" s="83">
        <v>-28717</v>
      </c>
      <c r="N36" s="83">
        <v>-28038</v>
      </c>
      <c r="O36" s="83">
        <v>-25674</v>
      </c>
      <c r="P36" s="83">
        <v>-24816</v>
      </c>
      <c r="S36" s="388" t="s">
        <v>627</v>
      </c>
      <c r="T36" s="388"/>
      <c r="U36" s="83">
        <v>800</v>
      </c>
      <c r="V36" s="83">
        <v>989</v>
      </c>
      <c r="W36" s="83" t="s">
        <v>533</v>
      </c>
      <c r="X36" s="83" t="s">
        <v>533</v>
      </c>
      <c r="Y36" s="83" t="s">
        <v>533</v>
      </c>
      <c r="AB36" s="82" t="s">
        <v>628</v>
      </c>
      <c r="AC36" s="83">
        <v>-32384</v>
      </c>
      <c r="AD36" s="83">
        <v>-30394</v>
      </c>
      <c r="AE36" s="83">
        <v>-21089</v>
      </c>
      <c r="AF36" s="83">
        <v>-3920</v>
      </c>
      <c r="AG36" s="83">
        <v>-5626</v>
      </c>
    </row>
    <row r="37" spans="2:33" ht="16" thickBot="1">
      <c r="B37" s="98" t="s">
        <v>629</v>
      </c>
      <c r="C37" s="79"/>
      <c r="D37" s="99"/>
      <c r="E37" s="99"/>
      <c r="F37" s="99"/>
      <c r="G37" s="99"/>
      <c r="H37" s="99"/>
      <c r="K37" s="128" t="s">
        <v>630</v>
      </c>
      <c r="L37" s="129">
        <v>45231</v>
      </c>
      <c r="M37" s="129">
        <v>35246</v>
      </c>
      <c r="N37" s="129">
        <v>36393</v>
      </c>
      <c r="O37" s="129">
        <v>33639</v>
      </c>
      <c r="P37" s="130">
        <v>30453</v>
      </c>
      <c r="S37" s="388" t="s">
        <v>631</v>
      </c>
      <c r="T37" s="388"/>
      <c r="U37" s="83">
        <v>2000</v>
      </c>
      <c r="V37" s="83">
        <v>-500</v>
      </c>
      <c r="W37" s="83">
        <v>-1300</v>
      </c>
      <c r="X37" s="83" t="s">
        <v>533</v>
      </c>
      <c r="Y37" s="83" t="s">
        <v>533</v>
      </c>
      <c r="AB37" s="82" t="s">
        <v>632</v>
      </c>
      <c r="AC37" s="83">
        <v>-229</v>
      </c>
      <c r="AD37" s="83">
        <v>-508</v>
      </c>
      <c r="AE37" s="83">
        <v>-521</v>
      </c>
      <c r="AF37" s="83">
        <v>44</v>
      </c>
      <c r="AG37" s="83">
        <v>-464</v>
      </c>
    </row>
    <row r="38" spans="2:33" ht="16" thickBot="1">
      <c r="B38" s="100" t="s">
        <v>633</v>
      </c>
      <c r="C38" s="101" t="s">
        <v>634</v>
      </c>
      <c r="D38" s="105">
        <v>6</v>
      </c>
      <c r="E38" s="105">
        <v>6.5</v>
      </c>
      <c r="F38" s="105">
        <v>5.9</v>
      </c>
      <c r="G38" s="105">
        <v>5.7</v>
      </c>
      <c r="H38" s="105">
        <v>5.9</v>
      </c>
      <c r="K38" s="132" t="s">
        <v>635</v>
      </c>
      <c r="L38" s="133">
        <v>48325</v>
      </c>
      <c r="M38" s="133">
        <v>46392</v>
      </c>
      <c r="N38" s="133">
        <v>53402</v>
      </c>
      <c r="O38" s="133">
        <v>47643</v>
      </c>
      <c r="P38" s="134">
        <v>47611</v>
      </c>
      <c r="S38" s="391" t="s">
        <v>636</v>
      </c>
      <c r="T38" s="391"/>
      <c r="U38" s="81">
        <v>-2957</v>
      </c>
      <c r="V38" s="81">
        <v>-1900</v>
      </c>
      <c r="W38" s="81">
        <v>-501</v>
      </c>
      <c r="X38" s="81">
        <v>2469</v>
      </c>
      <c r="Y38" s="81">
        <v>1061</v>
      </c>
      <c r="AB38" s="125" t="s">
        <v>637</v>
      </c>
      <c r="AC38" s="126">
        <v>-12371</v>
      </c>
      <c r="AD38" s="126">
        <v>-8683</v>
      </c>
      <c r="AE38" s="126">
        <v>-20825</v>
      </c>
      <c r="AF38" s="126">
        <v>-6194</v>
      </c>
      <c r="AG38" s="127">
        <v>-3167</v>
      </c>
    </row>
    <row r="39" spans="2:33" ht="16" thickBot="1">
      <c r="B39" s="100" t="s">
        <v>638</v>
      </c>
      <c r="C39" s="101" t="s">
        <v>639</v>
      </c>
      <c r="D39" s="105">
        <v>60.6</v>
      </c>
      <c r="E39" s="105">
        <v>56.3</v>
      </c>
      <c r="F39" s="105">
        <v>62.2</v>
      </c>
      <c r="G39" s="105">
        <v>63.7</v>
      </c>
      <c r="H39" s="105">
        <v>61.9</v>
      </c>
      <c r="K39" s="131" t="s">
        <v>640</v>
      </c>
      <c r="L39" s="93">
        <v>83492</v>
      </c>
      <c r="M39" s="93">
        <v>78405</v>
      </c>
      <c r="N39" s="93">
        <v>81932</v>
      </c>
      <c r="O39" s="93">
        <v>70259</v>
      </c>
      <c r="P39" s="93">
        <v>65718</v>
      </c>
      <c r="S39" s="398" t="s">
        <v>641</v>
      </c>
      <c r="T39" s="398"/>
      <c r="U39" s="83">
        <v>-2957</v>
      </c>
      <c r="V39" s="83">
        <v>-1900</v>
      </c>
      <c r="W39" s="83">
        <v>-501</v>
      </c>
      <c r="X39" s="83">
        <v>2469</v>
      </c>
      <c r="Y39" s="83">
        <v>1061</v>
      </c>
      <c r="AB39" s="124"/>
      <c r="AC39" s="124"/>
      <c r="AD39" s="124"/>
      <c r="AE39" s="124"/>
      <c r="AF39" s="124"/>
      <c r="AG39" s="124"/>
    </row>
    <row r="40" spans="2:33" ht="16" thickBot="1">
      <c r="B40" s="100" t="s">
        <v>642</v>
      </c>
      <c r="C40" s="101" t="s">
        <v>643</v>
      </c>
      <c r="D40" s="105">
        <v>2.7</v>
      </c>
      <c r="E40" s="105">
        <v>3</v>
      </c>
      <c r="F40" s="105">
        <v>3.1</v>
      </c>
      <c r="G40" s="105">
        <v>3.1</v>
      </c>
      <c r="H40" s="105">
        <v>3.1</v>
      </c>
      <c r="K40" s="82" t="s">
        <v>644</v>
      </c>
      <c r="L40" s="83">
        <v>-35167</v>
      </c>
      <c r="M40" s="83">
        <v>-32013</v>
      </c>
      <c r="N40" s="83">
        <v>-28530</v>
      </c>
      <c r="O40" s="83">
        <v>-22616</v>
      </c>
      <c r="P40" s="83">
        <v>-18107</v>
      </c>
      <c r="S40" s="393" t="s">
        <v>645</v>
      </c>
      <c r="T40" s="394"/>
      <c r="U40" s="129">
        <v>73218</v>
      </c>
      <c r="V40" s="129">
        <v>70999</v>
      </c>
      <c r="W40" s="129">
        <v>66087</v>
      </c>
      <c r="X40" s="129">
        <v>64731</v>
      </c>
      <c r="Y40" s="130">
        <v>63582</v>
      </c>
      <c r="AB40" s="79" t="s">
        <v>646</v>
      </c>
      <c r="AC40" s="79"/>
      <c r="AD40" s="79"/>
      <c r="AE40" s="79"/>
      <c r="AF40" s="79"/>
      <c r="AG40" s="79"/>
    </row>
    <row r="41" spans="2:33" ht="16" customHeight="1" thickBot="1">
      <c r="B41" s="100" t="s">
        <v>647</v>
      </c>
      <c r="C41" s="101" t="s">
        <v>648</v>
      </c>
      <c r="D41" s="105">
        <v>135.1</v>
      </c>
      <c r="E41" s="105">
        <v>120.9</v>
      </c>
      <c r="F41" s="105">
        <v>118.6</v>
      </c>
      <c r="G41" s="105">
        <v>117.4</v>
      </c>
      <c r="H41" s="105">
        <v>117.8</v>
      </c>
      <c r="K41" s="80" t="s">
        <v>649</v>
      </c>
      <c r="L41" s="81">
        <v>576</v>
      </c>
      <c r="M41" s="81">
        <v>1884</v>
      </c>
      <c r="N41" s="81">
        <v>1481</v>
      </c>
      <c r="O41" s="81">
        <v>1148</v>
      </c>
      <c r="P41" s="81">
        <v>511</v>
      </c>
      <c r="S41" s="393" t="s">
        <v>180</v>
      </c>
      <c r="T41" s="394"/>
      <c r="U41" s="129">
        <v>21725</v>
      </c>
      <c r="V41" s="129">
        <v>22776</v>
      </c>
      <c r="W41" s="129">
        <v>16497</v>
      </c>
      <c r="X41" s="129">
        <v>17328</v>
      </c>
      <c r="Y41" s="130">
        <v>17999</v>
      </c>
      <c r="AB41" s="80" t="s">
        <v>650</v>
      </c>
      <c r="AC41" s="81">
        <v>65</v>
      </c>
      <c r="AD41" s="81">
        <v>395</v>
      </c>
      <c r="AE41" s="81">
        <v>-627</v>
      </c>
      <c r="AF41" s="81">
        <v>575</v>
      </c>
      <c r="AG41" s="81">
        <v>-148</v>
      </c>
    </row>
    <row r="42" spans="2:33" ht="16" customHeight="1" thickBot="1">
      <c r="B42" s="100" t="s">
        <v>651</v>
      </c>
      <c r="C42" s="101" t="s">
        <v>652</v>
      </c>
      <c r="D42" s="105">
        <v>134.4</v>
      </c>
      <c r="E42" s="105">
        <v>126</v>
      </c>
      <c r="F42" s="105">
        <v>116.6</v>
      </c>
      <c r="G42" s="105">
        <v>107.2</v>
      </c>
      <c r="H42" s="105">
        <v>100.7</v>
      </c>
      <c r="K42" s="82" t="s">
        <v>653</v>
      </c>
      <c r="L42" s="83">
        <v>576</v>
      </c>
      <c r="M42" s="83">
        <v>1884</v>
      </c>
      <c r="N42" s="83">
        <v>1481</v>
      </c>
      <c r="O42" s="83">
        <v>1148</v>
      </c>
      <c r="P42" s="83">
        <v>511</v>
      </c>
      <c r="S42" s="395" t="s">
        <v>654</v>
      </c>
      <c r="T42" s="395"/>
      <c r="U42" s="138" t="s">
        <v>533</v>
      </c>
      <c r="V42" s="138" t="s">
        <v>533</v>
      </c>
      <c r="W42" s="138" t="s">
        <v>533</v>
      </c>
      <c r="X42" s="138" t="s">
        <v>533</v>
      </c>
      <c r="Y42" s="138" t="s">
        <v>533</v>
      </c>
      <c r="AB42" s="82" t="s">
        <v>655</v>
      </c>
      <c r="AC42" s="83">
        <v>65</v>
      </c>
      <c r="AD42" s="83">
        <v>395</v>
      </c>
      <c r="AE42" s="83">
        <v>-627</v>
      </c>
      <c r="AF42" s="83">
        <v>575</v>
      </c>
      <c r="AG42" s="83">
        <v>-148</v>
      </c>
    </row>
    <row r="43" spans="2:33" ht="25.5" customHeight="1" thickBot="1">
      <c r="B43" s="100" t="s">
        <v>86</v>
      </c>
      <c r="C43" s="101" t="s">
        <v>656</v>
      </c>
      <c r="D43" s="104">
        <v>4.66</v>
      </c>
      <c r="E43" s="104">
        <v>4.7300000000000004</v>
      </c>
      <c r="F43" s="104">
        <v>4.3</v>
      </c>
      <c r="G43" s="104">
        <v>4.5999999999999996</v>
      </c>
      <c r="H43" s="104">
        <v>4.79</v>
      </c>
      <c r="K43" s="84" t="s">
        <v>657</v>
      </c>
      <c r="L43" s="85" t="s">
        <v>533</v>
      </c>
      <c r="M43" s="85" t="s">
        <v>533</v>
      </c>
      <c r="N43" s="85" t="s">
        <v>533</v>
      </c>
      <c r="O43" s="85" t="s">
        <v>533</v>
      </c>
      <c r="P43" s="85" t="s">
        <v>533</v>
      </c>
      <c r="S43" s="389" t="s">
        <v>658</v>
      </c>
      <c r="T43" s="389"/>
      <c r="U43" s="85" t="s">
        <v>533</v>
      </c>
      <c r="V43" s="85" t="s">
        <v>533</v>
      </c>
      <c r="W43" s="85" t="s">
        <v>533</v>
      </c>
      <c r="X43" s="85" t="s">
        <v>533</v>
      </c>
      <c r="Y43" s="85" t="s">
        <v>533</v>
      </c>
      <c r="AB43" s="80" t="s">
        <v>659</v>
      </c>
      <c r="AC43" s="81">
        <v>-11682</v>
      </c>
      <c r="AD43" s="81">
        <v>-11032</v>
      </c>
      <c r="AE43" s="81">
        <v>-10481</v>
      </c>
      <c r="AF43" s="81">
        <v>-9917</v>
      </c>
      <c r="AG43" s="81">
        <v>-9494</v>
      </c>
    </row>
    <row r="44" spans="2:33" ht="16" thickBot="1">
      <c r="B44" s="100" t="s">
        <v>660</v>
      </c>
      <c r="C44" s="103" t="s">
        <v>545</v>
      </c>
      <c r="D44" s="102">
        <v>-0.05</v>
      </c>
      <c r="E44" s="102">
        <v>2.1000000000000001E-2</v>
      </c>
      <c r="F44" s="102">
        <v>-3.7999999999999999E-2</v>
      </c>
      <c r="G44" s="102">
        <v>-2.1000000000000001E-2</v>
      </c>
      <c r="H44" s="102">
        <v>-0.16800000000000001</v>
      </c>
      <c r="K44" s="80" t="s">
        <v>661</v>
      </c>
      <c r="L44" s="81">
        <v>17049</v>
      </c>
      <c r="M44" s="81">
        <v>17655</v>
      </c>
      <c r="N44" s="81">
        <v>12615</v>
      </c>
      <c r="O44" s="81">
        <v>11409</v>
      </c>
      <c r="P44" s="81">
        <v>11311</v>
      </c>
      <c r="S44" s="389" t="s">
        <v>662</v>
      </c>
      <c r="T44" s="389"/>
      <c r="U44" s="85" t="s">
        <v>533</v>
      </c>
      <c r="V44" s="85" t="s">
        <v>533</v>
      </c>
      <c r="W44" s="85" t="s">
        <v>533</v>
      </c>
      <c r="X44" s="85" t="s">
        <v>533</v>
      </c>
      <c r="Y44" s="85" t="s">
        <v>533</v>
      </c>
      <c r="AB44" s="82" t="s">
        <v>663</v>
      </c>
      <c r="AC44" s="83">
        <v>-11682</v>
      </c>
      <c r="AD44" s="83">
        <v>-11032</v>
      </c>
      <c r="AE44" s="83">
        <v>-10481</v>
      </c>
      <c r="AF44" s="83">
        <v>-9917</v>
      </c>
      <c r="AG44" s="83">
        <v>-9494</v>
      </c>
    </row>
    <row r="45" spans="2:33" ht="16" thickBot="1">
      <c r="B45" s="100" t="s">
        <v>664</v>
      </c>
      <c r="C45" s="101" t="s">
        <v>665</v>
      </c>
      <c r="D45" s="102">
        <v>1.2999999999999999E-2</v>
      </c>
      <c r="E45" s="102">
        <v>1.4999999999999999E-2</v>
      </c>
      <c r="F45" s="102">
        <v>2.1999999999999999E-2</v>
      </c>
      <c r="G45" s="102">
        <v>1.6E-2</v>
      </c>
      <c r="H45" s="102">
        <v>1.7999999999999999E-2</v>
      </c>
      <c r="K45" s="82" t="s">
        <v>666</v>
      </c>
      <c r="L45" s="83">
        <v>4581</v>
      </c>
      <c r="M45" s="83" t="s">
        <v>533</v>
      </c>
      <c r="N45" s="83" t="s">
        <v>533</v>
      </c>
      <c r="O45" s="83" t="s">
        <v>533</v>
      </c>
      <c r="P45" s="83" t="s">
        <v>533</v>
      </c>
      <c r="S45" s="389" t="s">
        <v>667</v>
      </c>
      <c r="T45" s="389"/>
      <c r="U45" s="85" t="s">
        <v>533</v>
      </c>
      <c r="V45" s="85" t="s">
        <v>533</v>
      </c>
      <c r="W45" s="85" t="s">
        <v>533</v>
      </c>
      <c r="X45" s="85" t="s">
        <v>533</v>
      </c>
      <c r="Y45" s="85" t="s">
        <v>533</v>
      </c>
      <c r="AB45" s="80" t="s">
        <v>668</v>
      </c>
      <c r="AC45" s="81">
        <v>-4706</v>
      </c>
      <c r="AD45" s="81">
        <v>-2420</v>
      </c>
      <c r="AE45" s="81">
        <v>-2107</v>
      </c>
      <c r="AF45" s="81">
        <v>-5792</v>
      </c>
      <c r="AG45" s="81">
        <v>-4919</v>
      </c>
    </row>
    <row r="46" spans="2:33" ht="16" thickBot="1">
      <c r="B46" s="100" t="s">
        <v>669</v>
      </c>
      <c r="C46" s="101" t="s">
        <v>670</v>
      </c>
      <c r="D46" s="102">
        <v>0.13400000000000001</v>
      </c>
      <c r="E46" s="102">
        <v>0.155</v>
      </c>
      <c r="F46" s="102">
        <v>0.113</v>
      </c>
      <c r="G46" s="102">
        <v>0.124</v>
      </c>
      <c r="H46" s="102">
        <v>0.123</v>
      </c>
      <c r="K46" s="82" t="s">
        <v>671</v>
      </c>
      <c r="L46" s="83">
        <v>9123</v>
      </c>
      <c r="M46" s="83">
        <v>10223</v>
      </c>
      <c r="N46" s="83">
        <v>8534</v>
      </c>
      <c r="O46" s="83">
        <v>7819</v>
      </c>
      <c r="P46" s="83">
        <v>7640</v>
      </c>
      <c r="S46" s="389" t="s">
        <v>672</v>
      </c>
      <c r="T46" s="389"/>
      <c r="U46" s="85" t="s">
        <v>533</v>
      </c>
      <c r="V46" s="85" t="s">
        <v>533</v>
      </c>
      <c r="W46" s="85" t="s">
        <v>533</v>
      </c>
      <c r="X46" s="85" t="s">
        <v>533</v>
      </c>
      <c r="Y46" s="85" t="s">
        <v>533</v>
      </c>
      <c r="AB46" s="82" t="s">
        <v>673</v>
      </c>
      <c r="AC46" s="83">
        <v>-6035</v>
      </c>
      <c r="AD46" s="83">
        <v>-3456</v>
      </c>
      <c r="AE46" s="83">
        <v>-3221</v>
      </c>
      <c r="AF46" s="83">
        <v>-6746</v>
      </c>
      <c r="AG46" s="83">
        <v>-5868</v>
      </c>
    </row>
    <row r="47" spans="2:33" ht="19.5" customHeight="1" thickBot="1">
      <c r="B47" s="100" t="s">
        <v>674</v>
      </c>
      <c r="C47" s="101" t="s">
        <v>670</v>
      </c>
      <c r="D47" s="70" t="s">
        <v>675</v>
      </c>
      <c r="E47" s="70" t="s">
        <v>676</v>
      </c>
      <c r="F47" s="70" t="s">
        <v>677</v>
      </c>
      <c r="G47" s="70" t="s">
        <v>678</v>
      </c>
      <c r="H47" s="70" t="s">
        <v>679</v>
      </c>
      <c r="K47" s="82" t="s">
        <v>680</v>
      </c>
      <c r="L47" s="83">
        <v>3345</v>
      </c>
      <c r="M47" s="83">
        <v>7432</v>
      </c>
      <c r="N47" s="83">
        <v>4081</v>
      </c>
      <c r="O47" s="83">
        <v>3590</v>
      </c>
      <c r="P47" s="83">
        <v>3671</v>
      </c>
      <c r="S47" s="389" t="s">
        <v>641</v>
      </c>
      <c r="T47" s="389"/>
      <c r="U47" s="85" t="s">
        <v>533</v>
      </c>
      <c r="V47" s="85" t="s">
        <v>533</v>
      </c>
      <c r="W47" s="85" t="s">
        <v>533</v>
      </c>
      <c r="X47" s="85" t="s">
        <v>533</v>
      </c>
      <c r="Y47" s="85" t="s">
        <v>533</v>
      </c>
      <c r="AB47" s="82" t="s">
        <v>681</v>
      </c>
      <c r="AC47" s="83">
        <v>-6035</v>
      </c>
      <c r="AD47" s="83">
        <v>-3456</v>
      </c>
      <c r="AE47" s="83">
        <v>-3221</v>
      </c>
      <c r="AF47" s="83">
        <v>-6746</v>
      </c>
      <c r="AG47" s="83">
        <v>-5868</v>
      </c>
    </row>
    <row r="48" spans="2:33" ht="16" thickBot="1">
      <c r="K48" s="125" t="s">
        <v>200</v>
      </c>
      <c r="L48" s="126">
        <v>187378</v>
      </c>
      <c r="M48" s="126">
        <v>182018</v>
      </c>
      <c r="N48" s="126">
        <v>174894</v>
      </c>
      <c r="O48" s="126">
        <v>157728</v>
      </c>
      <c r="P48" s="127">
        <v>152954</v>
      </c>
      <c r="S48" s="389" t="s">
        <v>682</v>
      </c>
      <c r="T48" s="389"/>
      <c r="U48" s="85">
        <v>21725</v>
      </c>
      <c r="V48" s="85">
        <v>22776</v>
      </c>
      <c r="W48" s="85">
        <v>16497</v>
      </c>
      <c r="X48" s="85">
        <v>17328</v>
      </c>
      <c r="Y48" s="85">
        <v>17999</v>
      </c>
      <c r="AB48" s="82" t="s">
        <v>683</v>
      </c>
      <c r="AC48" s="83">
        <v>1329</v>
      </c>
      <c r="AD48" s="83">
        <v>1036</v>
      </c>
      <c r="AE48" s="83">
        <v>1114</v>
      </c>
      <c r="AF48" s="83">
        <v>954</v>
      </c>
      <c r="AG48" s="83">
        <v>949</v>
      </c>
    </row>
    <row r="49" spans="11:33" ht="16" thickBot="1">
      <c r="K49" s="124"/>
      <c r="L49" s="124"/>
      <c r="M49" s="124"/>
      <c r="N49" s="124"/>
      <c r="O49" s="124"/>
      <c r="P49" s="124"/>
      <c r="S49" s="389" t="s">
        <v>684</v>
      </c>
      <c r="T49" s="389"/>
      <c r="U49" s="85">
        <v>3784</v>
      </c>
      <c r="V49" s="85">
        <v>1898</v>
      </c>
      <c r="W49" s="85">
        <v>2083</v>
      </c>
      <c r="X49" s="85">
        <v>2209</v>
      </c>
      <c r="Y49" s="85">
        <v>2702</v>
      </c>
      <c r="AB49" s="80" t="s">
        <v>685</v>
      </c>
      <c r="AC49" s="81">
        <v>7452</v>
      </c>
      <c r="AD49" s="81">
        <v>-990</v>
      </c>
      <c r="AE49" s="81">
        <v>7095</v>
      </c>
      <c r="AF49" s="81">
        <v>-2881</v>
      </c>
      <c r="AG49" s="81">
        <v>-3949</v>
      </c>
    </row>
    <row r="50" spans="11:33" ht="16" thickBot="1">
      <c r="K50" s="79" t="s">
        <v>686</v>
      </c>
      <c r="L50" s="79"/>
      <c r="M50" s="79"/>
      <c r="N50" s="79"/>
      <c r="O50" s="79"/>
      <c r="P50" s="79"/>
      <c r="S50" s="389" t="s">
        <v>687</v>
      </c>
      <c r="T50" s="389"/>
      <c r="U50" s="85">
        <v>17941</v>
      </c>
      <c r="V50" s="85">
        <v>20878</v>
      </c>
      <c r="W50" s="85">
        <v>14414</v>
      </c>
      <c r="X50" s="85">
        <v>15119</v>
      </c>
      <c r="Y50" s="85">
        <v>15297</v>
      </c>
      <c r="AB50" s="82" t="s">
        <v>688</v>
      </c>
      <c r="AC50" s="83">
        <v>16134</v>
      </c>
      <c r="AD50" s="83">
        <v>1997</v>
      </c>
      <c r="AE50" s="83">
        <v>3391</v>
      </c>
      <c r="AF50" s="83">
        <v>39</v>
      </c>
      <c r="AG50" s="83">
        <v>80</v>
      </c>
    </row>
    <row r="51" spans="11:33" ht="16" thickBot="1">
      <c r="K51" s="253" t="s">
        <v>304</v>
      </c>
      <c r="L51" s="254">
        <v>11703</v>
      </c>
      <c r="M51" s="254">
        <v>11055</v>
      </c>
      <c r="N51" s="254">
        <v>9505</v>
      </c>
      <c r="O51" s="254">
        <v>8544</v>
      </c>
      <c r="P51" s="255">
        <v>7537</v>
      </c>
      <c r="S51" s="389" t="s">
        <v>689</v>
      </c>
      <c r="T51" s="389"/>
      <c r="U51" s="85" t="s">
        <v>533</v>
      </c>
      <c r="V51" s="85" t="s">
        <v>533</v>
      </c>
      <c r="W51" s="85" t="s">
        <v>533</v>
      </c>
      <c r="X51" s="85" t="s">
        <v>533</v>
      </c>
      <c r="Y51" s="85" t="s">
        <v>533</v>
      </c>
      <c r="AB51" s="82" t="s">
        <v>690</v>
      </c>
      <c r="AC51" s="83">
        <v>-6550</v>
      </c>
      <c r="AD51" s="83">
        <v>-1190</v>
      </c>
      <c r="AE51" s="83">
        <v>-2663</v>
      </c>
      <c r="AF51" s="83">
        <v>-100</v>
      </c>
      <c r="AG51" s="83">
        <v>-2479</v>
      </c>
    </row>
    <row r="52" spans="11:33" ht="16" thickBot="1">
      <c r="K52" s="137" t="s">
        <v>579</v>
      </c>
      <c r="L52" s="138" t="s">
        <v>533</v>
      </c>
      <c r="M52" s="138" t="s">
        <v>533</v>
      </c>
      <c r="N52" s="138" t="s">
        <v>533</v>
      </c>
      <c r="O52" s="138" t="s">
        <v>533</v>
      </c>
      <c r="P52" s="138" t="s">
        <v>533</v>
      </c>
      <c r="S52" s="389" t="s">
        <v>691</v>
      </c>
      <c r="T52" s="389"/>
      <c r="U52" s="85" t="s">
        <v>533</v>
      </c>
      <c r="V52" s="85" t="s">
        <v>533</v>
      </c>
      <c r="W52" s="85" t="s">
        <v>533</v>
      </c>
      <c r="X52" s="85" t="s">
        <v>533</v>
      </c>
      <c r="Y52" s="85" t="s">
        <v>533</v>
      </c>
      <c r="AB52" s="82" t="s">
        <v>692</v>
      </c>
      <c r="AC52" s="83">
        <v>9584</v>
      </c>
      <c r="AD52" s="83">
        <v>807</v>
      </c>
      <c r="AE52" s="83">
        <v>728</v>
      </c>
      <c r="AF52" s="83">
        <v>-61</v>
      </c>
      <c r="AG52" s="83">
        <v>-2399</v>
      </c>
    </row>
    <row r="53" spans="11:33" ht="16" thickBot="1">
      <c r="K53" s="84" t="s">
        <v>307</v>
      </c>
      <c r="L53" s="85">
        <v>29201</v>
      </c>
      <c r="M53" s="85">
        <v>29293</v>
      </c>
      <c r="N53" s="85">
        <v>28965</v>
      </c>
      <c r="O53" s="85">
        <v>23952</v>
      </c>
      <c r="P53" s="85">
        <v>20079</v>
      </c>
      <c r="S53" s="389" t="s">
        <v>693</v>
      </c>
      <c r="T53" s="389"/>
      <c r="U53" s="85" t="s">
        <v>533</v>
      </c>
      <c r="V53" s="85" t="s">
        <v>533</v>
      </c>
      <c r="W53" s="85" t="s">
        <v>533</v>
      </c>
      <c r="X53" s="85" t="s">
        <v>533</v>
      </c>
      <c r="Y53" s="85" t="s">
        <v>533</v>
      </c>
      <c r="AB53" s="82" t="s">
        <v>694</v>
      </c>
      <c r="AC53" s="83">
        <v>2</v>
      </c>
      <c r="AD53" s="83">
        <v>5</v>
      </c>
      <c r="AE53" s="83">
        <v>7431</v>
      </c>
      <c r="AF53" s="83">
        <v>3</v>
      </c>
      <c r="AG53" s="83">
        <v>5</v>
      </c>
    </row>
    <row r="54" spans="11:33" ht="16" thickBot="1">
      <c r="K54" s="84" t="s">
        <v>695</v>
      </c>
      <c r="L54" s="85">
        <v>11220</v>
      </c>
      <c r="M54" s="85">
        <v>1635</v>
      </c>
      <c r="N54" s="85">
        <v>832</v>
      </c>
      <c r="O54" s="85">
        <v>0</v>
      </c>
      <c r="P54" s="85">
        <v>0</v>
      </c>
      <c r="S54" s="389" t="s">
        <v>696</v>
      </c>
      <c r="T54" s="389"/>
      <c r="U54" s="85">
        <v>17941</v>
      </c>
      <c r="V54" s="85">
        <v>20878</v>
      </c>
      <c r="W54" s="85">
        <v>14414</v>
      </c>
      <c r="X54" s="85">
        <v>15119</v>
      </c>
      <c r="Y54" s="85">
        <v>15297</v>
      </c>
      <c r="AB54" s="82" t="s">
        <v>697</v>
      </c>
      <c r="AC54" s="83">
        <v>-2134</v>
      </c>
      <c r="AD54" s="83">
        <v>-1802</v>
      </c>
      <c r="AE54" s="83">
        <v>-1064</v>
      </c>
      <c r="AF54" s="83">
        <v>-2823</v>
      </c>
      <c r="AG54" s="83">
        <v>-1555</v>
      </c>
    </row>
    <row r="55" spans="11:33" ht="16" thickBot="1">
      <c r="K55" s="84" t="s">
        <v>698</v>
      </c>
      <c r="L55" s="85">
        <v>1551</v>
      </c>
      <c r="M55" s="85">
        <v>2131</v>
      </c>
      <c r="N55" s="85">
        <v>1799</v>
      </c>
      <c r="O55" s="85">
        <v>1202</v>
      </c>
      <c r="P55" s="85">
        <v>2297</v>
      </c>
      <c r="S55" s="397"/>
      <c r="T55" s="397"/>
      <c r="U55" s="86"/>
      <c r="V55" s="86"/>
      <c r="W55" s="86"/>
      <c r="X55" s="86"/>
      <c r="Y55" s="86"/>
      <c r="AB55" s="82" t="s">
        <v>699</v>
      </c>
      <c r="AC55" s="83">
        <v>-2132</v>
      </c>
      <c r="AD55" s="83">
        <v>-1797</v>
      </c>
      <c r="AE55" s="83">
        <v>6367</v>
      </c>
      <c r="AF55" s="83">
        <v>-2820</v>
      </c>
      <c r="AG55" s="83">
        <v>-1550</v>
      </c>
    </row>
    <row r="56" spans="11:33" ht="16" thickBot="1">
      <c r="K56" s="80" t="s">
        <v>700</v>
      </c>
      <c r="L56" s="81">
        <v>2127</v>
      </c>
      <c r="M56" s="81">
        <v>1112</v>
      </c>
      <c r="N56" s="81">
        <v>1392</v>
      </c>
      <c r="O56" s="81">
        <v>2266</v>
      </c>
      <c r="P56" s="81">
        <v>1317</v>
      </c>
      <c r="S56" s="389" t="s">
        <v>701</v>
      </c>
      <c r="T56" s="389"/>
      <c r="U56" s="85" t="s">
        <v>533</v>
      </c>
      <c r="V56" s="85" t="s">
        <v>533</v>
      </c>
      <c r="W56" s="85" t="s">
        <v>533</v>
      </c>
      <c r="X56" s="85" t="s">
        <v>533</v>
      </c>
      <c r="Y56" s="85" t="s">
        <v>533</v>
      </c>
      <c r="AB56" s="84" t="s">
        <v>702</v>
      </c>
      <c r="AC56" s="85">
        <v>-8871</v>
      </c>
      <c r="AD56" s="85">
        <v>-14047</v>
      </c>
      <c r="AE56" s="85">
        <v>-6120</v>
      </c>
      <c r="AF56" s="85">
        <v>-18015</v>
      </c>
      <c r="AG56" s="85">
        <v>-18510</v>
      </c>
    </row>
    <row r="57" spans="11:33" ht="16" thickBot="1">
      <c r="K57" s="82" t="s">
        <v>703</v>
      </c>
      <c r="L57" s="83">
        <v>2127</v>
      </c>
      <c r="M57" s="83">
        <v>1112</v>
      </c>
      <c r="N57" s="83">
        <v>1392</v>
      </c>
      <c r="O57" s="83">
        <v>2266</v>
      </c>
      <c r="P57" s="83">
        <v>818</v>
      </c>
      <c r="S57" s="389" t="s">
        <v>704</v>
      </c>
      <c r="T57" s="389"/>
      <c r="U57" s="85" t="s">
        <v>533</v>
      </c>
      <c r="V57" s="85" t="s">
        <v>533</v>
      </c>
      <c r="W57" s="85" t="s">
        <v>533</v>
      </c>
      <c r="X57" s="85" t="s">
        <v>533</v>
      </c>
      <c r="Y57" s="85" t="s">
        <v>533</v>
      </c>
      <c r="AB57" s="86"/>
      <c r="AC57" s="86"/>
      <c r="AD57" s="86"/>
      <c r="AE57" s="86"/>
      <c r="AF57" s="86"/>
      <c r="AG57" s="86"/>
    </row>
    <row r="58" spans="11:33" ht="16" thickBot="1">
      <c r="K58" s="82" t="s">
        <v>705</v>
      </c>
      <c r="L58" s="83" t="s">
        <v>533</v>
      </c>
      <c r="M58" s="83" t="s">
        <v>533</v>
      </c>
      <c r="N58" s="83" t="s">
        <v>533</v>
      </c>
      <c r="O58" s="83">
        <v>0</v>
      </c>
      <c r="P58" s="83">
        <v>499</v>
      </c>
      <c r="S58" s="389" t="s">
        <v>706</v>
      </c>
      <c r="T58" s="389"/>
      <c r="U58" s="85" t="s">
        <v>533</v>
      </c>
      <c r="V58" s="85" t="s">
        <v>533</v>
      </c>
      <c r="W58" s="85">
        <v>300</v>
      </c>
      <c r="X58" s="85" t="s">
        <v>533</v>
      </c>
      <c r="Y58" s="85" t="s">
        <v>533</v>
      </c>
      <c r="AB58" s="84" t="s">
        <v>707</v>
      </c>
      <c r="AC58" s="85">
        <v>-312</v>
      </c>
      <c r="AD58" s="85">
        <v>-178</v>
      </c>
      <c r="AE58" s="85">
        <v>89</v>
      </c>
      <c r="AF58" s="85">
        <v>-9</v>
      </c>
      <c r="AG58" s="85">
        <v>-241</v>
      </c>
    </row>
    <row r="59" spans="11:33" ht="16" thickBot="1">
      <c r="K59" s="125" t="s">
        <v>708</v>
      </c>
      <c r="L59" s="126">
        <v>55802</v>
      </c>
      <c r="M59" s="126">
        <v>45226</v>
      </c>
      <c r="N59" s="126">
        <v>42493</v>
      </c>
      <c r="O59" s="126">
        <v>35964</v>
      </c>
      <c r="P59" s="127">
        <v>31230</v>
      </c>
      <c r="S59" s="389" t="s">
        <v>709</v>
      </c>
      <c r="T59" s="389"/>
      <c r="U59" s="85" t="s">
        <v>533</v>
      </c>
      <c r="V59" s="85" t="s">
        <v>533</v>
      </c>
      <c r="W59" s="85" t="s">
        <v>533</v>
      </c>
      <c r="X59" s="85" t="s">
        <v>533</v>
      </c>
      <c r="Y59" s="85" t="s">
        <v>533</v>
      </c>
      <c r="AB59" s="84" t="s">
        <v>710</v>
      </c>
      <c r="AC59" s="85">
        <v>-360</v>
      </c>
      <c r="AD59" s="85">
        <v>502</v>
      </c>
      <c r="AE59" s="85">
        <v>-3320</v>
      </c>
      <c r="AF59" s="85">
        <v>-802</v>
      </c>
      <c r="AG59" s="85">
        <v>283</v>
      </c>
    </row>
    <row r="60" spans="11:33" ht="16" thickBot="1">
      <c r="K60" s="124"/>
      <c r="L60" s="124"/>
      <c r="M60" s="124"/>
      <c r="N60" s="124"/>
      <c r="O60" s="124"/>
      <c r="P60" s="124"/>
      <c r="S60" s="390" t="s">
        <v>711</v>
      </c>
      <c r="T60" s="390"/>
      <c r="U60" s="85" t="s">
        <v>533</v>
      </c>
      <c r="V60" s="85" t="s">
        <v>533</v>
      </c>
      <c r="W60" s="85">
        <v>300</v>
      </c>
      <c r="X60" s="85" t="s">
        <v>533</v>
      </c>
      <c r="Y60" s="85" t="s">
        <v>533</v>
      </c>
      <c r="AB60" s="86"/>
      <c r="AC60" s="86"/>
      <c r="AD60" s="86"/>
      <c r="AE60" s="86"/>
      <c r="AF60" s="86"/>
      <c r="AG60" s="86"/>
    </row>
    <row r="61" spans="11:33" ht="16" thickBot="1">
      <c r="K61" s="80" t="s">
        <v>712</v>
      </c>
      <c r="L61" s="81">
        <v>26888</v>
      </c>
      <c r="M61" s="81">
        <v>29985</v>
      </c>
      <c r="N61" s="81">
        <v>32635</v>
      </c>
      <c r="O61" s="81">
        <v>26494</v>
      </c>
      <c r="P61" s="81">
        <v>27684</v>
      </c>
      <c r="S61" s="393" t="s">
        <v>101</v>
      </c>
      <c r="T61" s="394"/>
      <c r="U61" s="129">
        <v>17941</v>
      </c>
      <c r="V61" s="129">
        <v>20878</v>
      </c>
      <c r="W61" s="129">
        <v>14714</v>
      </c>
      <c r="X61" s="129">
        <v>15119</v>
      </c>
      <c r="Y61" s="130">
        <v>15297</v>
      </c>
      <c r="AB61" s="84" t="s">
        <v>713</v>
      </c>
      <c r="AC61" s="85">
        <v>14487</v>
      </c>
      <c r="AD61" s="85">
        <v>13985</v>
      </c>
      <c r="AE61" s="85">
        <v>17305</v>
      </c>
      <c r="AF61" s="85">
        <v>18107</v>
      </c>
      <c r="AG61" s="85">
        <v>17824</v>
      </c>
    </row>
    <row r="62" spans="11:33" ht="16" thickBot="1">
      <c r="K62" s="82" t="s">
        <v>714</v>
      </c>
      <c r="L62" s="83">
        <v>26888</v>
      </c>
      <c r="M62" s="83">
        <v>29985</v>
      </c>
      <c r="N62" s="83">
        <v>32635</v>
      </c>
      <c r="O62" s="83">
        <v>26494</v>
      </c>
      <c r="P62" s="83">
        <v>27684</v>
      </c>
      <c r="S62" s="396"/>
      <c r="T62" s="396"/>
      <c r="U62" s="124"/>
      <c r="V62" s="124"/>
      <c r="W62" s="124"/>
      <c r="X62" s="124"/>
      <c r="Y62" s="124"/>
      <c r="AB62" s="125" t="s">
        <v>715</v>
      </c>
      <c r="AC62" s="126">
        <v>14127</v>
      </c>
      <c r="AD62" s="126">
        <v>14487</v>
      </c>
      <c r="AE62" s="126">
        <v>13985</v>
      </c>
      <c r="AF62" s="126">
        <v>17305</v>
      </c>
      <c r="AG62" s="127">
        <v>18107</v>
      </c>
    </row>
    <row r="63" spans="11:33" ht="16" thickBot="1">
      <c r="K63" s="128" t="s">
        <v>199</v>
      </c>
      <c r="L63" s="129">
        <v>39659</v>
      </c>
      <c r="M63" s="129">
        <v>33751</v>
      </c>
      <c r="N63" s="129">
        <v>35266</v>
      </c>
      <c r="O63" s="129">
        <v>27696</v>
      </c>
      <c r="P63" s="130">
        <v>29981</v>
      </c>
      <c r="S63" s="389" t="s">
        <v>716</v>
      </c>
      <c r="T63" s="389"/>
      <c r="U63" s="85" t="s">
        <v>533</v>
      </c>
      <c r="V63" s="85" t="s">
        <v>533</v>
      </c>
      <c r="W63" s="85" t="s">
        <v>533</v>
      </c>
      <c r="X63" s="85" t="s">
        <v>533</v>
      </c>
      <c r="Y63" s="85" t="s">
        <v>533</v>
      </c>
      <c r="AB63" s="137" t="s">
        <v>717</v>
      </c>
      <c r="AC63" s="138">
        <v>1915</v>
      </c>
      <c r="AD63" s="138">
        <v>990</v>
      </c>
      <c r="AE63" s="138">
        <v>904</v>
      </c>
      <c r="AF63" s="138">
        <v>995</v>
      </c>
      <c r="AG63" s="138">
        <v>1049</v>
      </c>
    </row>
    <row r="64" spans="11:33" ht="16" thickBot="1">
      <c r="K64" s="135" t="s">
        <v>718</v>
      </c>
      <c r="L64" s="136">
        <v>6374</v>
      </c>
      <c r="M64" s="136">
        <v>7487</v>
      </c>
      <c r="N64" s="136">
        <v>7214</v>
      </c>
      <c r="O64" s="136">
        <v>5958</v>
      </c>
      <c r="P64" s="136">
        <v>7506</v>
      </c>
      <c r="S64" s="389" t="s">
        <v>719</v>
      </c>
      <c r="T64" s="389"/>
      <c r="U64" s="85" t="s">
        <v>533</v>
      </c>
      <c r="V64" s="85" t="s">
        <v>533</v>
      </c>
      <c r="W64" s="85" t="s">
        <v>533</v>
      </c>
      <c r="X64" s="85" t="s">
        <v>533</v>
      </c>
      <c r="Y64" s="85" t="s">
        <v>533</v>
      </c>
      <c r="AB64" s="84" t="s">
        <v>720</v>
      </c>
      <c r="AC64" s="85">
        <v>5223</v>
      </c>
      <c r="AD64" s="85">
        <v>4768</v>
      </c>
      <c r="AE64" s="85">
        <v>4619</v>
      </c>
      <c r="AF64" s="85">
        <v>4191</v>
      </c>
      <c r="AG64" s="85">
        <v>4570</v>
      </c>
    </row>
    <row r="65" spans="11:33" ht="16" thickBot="1">
      <c r="K65" s="82" t="s">
        <v>721</v>
      </c>
      <c r="L65" s="83">
        <v>6374</v>
      </c>
      <c r="M65" s="83">
        <v>7487</v>
      </c>
      <c r="N65" s="83">
        <v>7214</v>
      </c>
      <c r="O65" s="83">
        <v>5958</v>
      </c>
      <c r="P65" s="83">
        <v>7506</v>
      </c>
      <c r="S65" s="389" t="s">
        <v>722</v>
      </c>
      <c r="T65" s="389"/>
      <c r="U65" s="85" t="s">
        <v>533</v>
      </c>
      <c r="V65" s="85" t="s">
        <v>533</v>
      </c>
      <c r="W65" s="85" t="s">
        <v>533</v>
      </c>
      <c r="X65" s="85" t="s">
        <v>533</v>
      </c>
      <c r="Y65" s="85" t="s">
        <v>533</v>
      </c>
      <c r="AB65" s="84" t="s">
        <v>723</v>
      </c>
      <c r="AC65" s="85" t="s">
        <v>533</v>
      </c>
      <c r="AD65" s="85" t="s">
        <v>533</v>
      </c>
      <c r="AE65" s="85" t="s">
        <v>533</v>
      </c>
      <c r="AF65" s="85" t="s">
        <v>533</v>
      </c>
      <c r="AG65" s="85" t="s">
        <v>533</v>
      </c>
    </row>
    <row r="66" spans="11:33" ht="16" thickBot="1">
      <c r="K66" s="84" t="s">
        <v>689</v>
      </c>
      <c r="L66" s="85" t="s">
        <v>533</v>
      </c>
      <c r="M66" s="85" t="s">
        <v>533</v>
      </c>
      <c r="N66" s="85" t="s">
        <v>533</v>
      </c>
      <c r="O66" s="85" t="s">
        <v>533</v>
      </c>
      <c r="P66" s="85" t="s">
        <v>533</v>
      </c>
      <c r="S66" s="389" t="s">
        <v>724</v>
      </c>
      <c r="T66" s="389"/>
      <c r="U66" s="85" t="s">
        <v>533</v>
      </c>
      <c r="V66" s="85" t="s">
        <v>533</v>
      </c>
      <c r="W66" s="85" t="s">
        <v>533</v>
      </c>
      <c r="X66" s="85" t="s">
        <v>533</v>
      </c>
      <c r="Y66" s="85" t="s">
        <v>533</v>
      </c>
      <c r="AB66" s="84" t="s">
        <v>725</v>
      </c>
      <c r="AC66" s="85" t="s">
        <v>533</v>
      </c>
      <c r="AD66" s="85" t="s">
        <v>533</v>
      </c>
      <c r="AE66" s="85" t="s">
        <v>533</v>
      </c>
      <c r="AF66" s="85" t="s">
        <v>533</v>
      </c>
      <c r="AG66" s="85" t="s">
        <v>533</v>
      </c>
    </row>
    <row r="67" spans="11:33" ht="16" thickBot="1">
      <c r="K67" s="80" t="s">
        <v>726</v>
      </c>
      <c r="L67" s="81">
        <v>21510</v>
      </c>
      <c r="M67" s="81">
        <v>25297</v>
      </c>
      <c r="N67" s="81">
        <v>29274</v>
      </c>
      <c r="O67" s="81">
        <v>29841</v>
      </c>
      <c r="P67" s="81">
        <v>26782</v>
      </c>
      <c r="S67" s="389" t="s">
        <v>727</v>
      </c>
      <c r="T67" s="389"/>
      <c r="U67" s="85" t="s">
        <v>533</v>
      </c>
      <c r="V67" s="85" t="s">
        <v>533</v>
      </c>
      <c r="W67" s="85" t="s">
        <v>533</v>
      </c>
      <c r="X67" s="85" t="s">
        <v>533</v>
      </c>
      <c r="Y67" s="85" t="s">
        <v>533</v>
      </c>
      <c r="AB67" s="84" t="s">
        <v>728</v>
      </c>
      <c r="AC67" s="85" t="s">
        <v>533</v>
      </c>
      <c r="AD67" s="85" t="s">
        <v>533</v>
      </c>
      <c r="AE67" s="85" t="s">
        <v>533</v>
      </c>
      <c r="AF67" s="85" t="s">
        <v>533</v>
      </c>
      <c r="AG67" s="85" t="s">
        <v>533</v>
      </c>
    </row>
    <row r="68" spans="11:33" ht="16" thickBot="1">
      <c r="K68" s="82" t="s">
        <v>729</v>
      </c>
      <c r="L68" s="83">
        <v>6767</v>
      </c>
      <c r="M68" s="83">
        <v>8898</v>
      </c>
      <c r="N68" s="83">
        <v>10771</v>
      </c>
      <c r="O68" s="83">
        <v>10663</v>
      </c>
      <c r="P68" s="83">
        <v>9951</v>
      </c>
      <c r="S68" s="389" t="s">
        <v>730</v>
      </c>
      <c r="T68" s="389"/>
      <c r="U68" s="85" t="s">
        <v>533</v>
      </c>
      <c r="V68" s="85" t="s">
        <v>533</v>
      </c>
      <c r="W68" s="85" t="s">
        <v>533</v>
      </c>
      <c r="X68" s="85" t="s">
        <v>533</v>
      </c>
      <c r="Y68" s="85" t="s">
        <v>533</v>
      </c>
      <c r="AB68" s="84" t="s">
        <v>731</v>
      </c>
      <c r="AC68" s="85" t="s">
        <v>533</v>
      </c>
      <c r="AD68" s="85" t="s">
        <v>533</v>
      </c>
      <c r="AE68" s="85" t="s">
        <v>533</v>
      </c>
      <c r="AF68" s="85" t="s">
        <v>533</v>
      </c>
      <c r="AG68" s="85" t="s">
        <v>533</v>
      </c>
    </row>
    <row r="69" spans="11:33" ht="16" thickBot="1">
      <c r="K69" s="82" t="s">
        <v>732</v>
      </c>
      <c r="L69" s="83">
        <v>14743</v>
      </c>
      <c r="M69" s="83">
        <v>16399</v>
      </c>
      <c r="N69" s="83">
        <v>18503</v>
      </c>
      <c r="O69" s="83">
        <v>19178</v>
      </c>
      <c r="P69" s="83">
        <v>16831</v>
      </c>
      <c r="S69" s="389" t="s">
        <v>733</v>
      </c>
      <c r="T69" s="389"/>
      <c r="U69" s="85">
        <v>17941</v>
      </c>
      <c r="V69" s="85">
        <v>20878</v>
      </c>
      <c r="W69" s="85">
        <v>14414</v>
      </c>
      <c r="X69" s="85">
        <v>15119</v>
      </c>
      <c r="Y69" s="85">
        <v>15297</v>
      </c>
      <c r="AB69" s="84" t="s">
        <v>734</v>
      </c>
      <c r="AC69" s="85" t="s">
        <v>533</v>
      </c>
      <c r="AD69" s="85" t="s">
        <v>533</v>
      </c>
      <c r="AE69" s="85" t="s">
        <v>533</v>
      </c>
      <c r="AF69" s="85" t="s">
        <v>533</v>
      </c>
      <c r="AG69" s="85" t="s">
        <v>533</v>
      </c>
    </row>
    <row r="70" spans="11:33" ht="16" thickBot="1">
      <c r="K70" s="125" t="s">
        <v>337</v>
      </c>
      <c r="L70" s="126">
        <v>110574</v>
      </c>
      <c r="M70" s="126">
        <v>107995</v>
      </c>
      <c r="N70" s="126">
        <v>111616</v>
      </c>
      <c r="O70" s="126">
        <v>98257</v>
      </c>
      <c r="P70" s="127">
        <v>93202</v>
      </c>
      <c r="S70" s="390" t="s">
        <v>735</v>
      </c>
      <c r="T70" s="390"/>
      <c r="U70" s="85">
        <v>17941</v>
      </c>
      <c r="V70" s="85">
        <v>20878</v>
      </c>
      <c r="W70" s="85">
        <v>14714</v>
      </c>
      <c r="X70" s="85">
        <v>15119</v>
      </c>
      <c r="Y70" s="85">
        <v>15297</v>
      </c>
      <c r="AB70" s="84" t="s">
        <v>736</v>
      </c>
      <c r="AC70" s="85">
        <v>-4011</v>
      </c>
      <c r="AD70" s="85">
        <v>-4238</v>
      </c>
      <c r="AE70" s="85">
        <v>2690</v>
      </c>
      <c r="AF70" s="85">
        <v>3865</v>
      </c>
      <c r="AG70" s="85">
        <v>3</v>
      </c>
    </row>
    <row r="71" spans="11:33" ht="16" thickBot="1">
      <c r="K71" s="124"/>
      <c r="L71" s="124"/>
      <c r="M71" s="124"/>
      <c r="N71" s="124"/>
      <c r="O71" s="124"/>
      <c r="P71" s="124"/>
      <c r="S71" s="393" t="s">
        <v>406</v>
      </c>
      <c r="T71" s="394"/>
      <c r="U71" s="129">
        <v>2625</v>
      </c>
      <c r="V71" s="129">
        <v>2632</v>
      </c>
      <c r="W71" s="129">
        <v>2633</v>
      </c>
      <c r="X71" s="129">
        <v>2645</v>
      </c>
      <c r="Y71" s="130">
        <v>2682</v>
      </c>
      <c r="AB71" s="84" t="s">
        <v>737</v>
      </c>
      <c r="AC71" s="85" t="s">
        <v>533</v>
      </c>
      <c r="AD71" s="85" t="s">
        <v>533</v>
      </c>
      <c r="AE71" s="85" t="s">
        <v>533</v>
      </c>
      <c r="AF71" s="85" t="s">
        <v>533</v>
      </c>
      <c r="AG71" s="85" t="s">
        <v>533</v>
      </c>
    </row>
    <row r="72" spans="11:33" ht="16" thickBot="1">
      <c r="K72" s="79" t="s">
        <v>738</v>
      </c>
      <c r="L72" s="79"/>
      <c r="M72" s="79"/>
      <c r="N72" s="79"/>
      <c r="O72" s="79"/>
      <c r="P72" s="79"/>
      <c r="S72" s="395" t="s">
        <v>739</v>
      </c>
      <c r="T72" s="395"/>
      <c r="U72" s="162">
        <v>6.83</v>
      </c>
      <c r="V72" s="162">
        <v>7.93</v>
      </c>
      <c r="W72" s="162">
        <v>5.47</v>
      </c>
      <c r="X72" s="162">
        <v>5.72</v>
      </c>
      <c r="Y72" s="162">
        <v>5.7</v>
      </c>
      <c r="AB72" s="84" t="s">
        <v>740</v>
      </c>
      <c r="AC72" s="85" t="s">
        <v>533</v>
      </c>
      <c r="AD72" s="85" t="s">
        <v>533</v>
      </c>
      <c r="AE72" s="85" t="s">
        <v>533</v>
      </c>
      <c r="AF72" s="85" t="s">
        <v>533</v>
      </c>
      <c r="AG72" s="85" t="s">
        <v>533</v>
      </c>
    </row>
    <row r="73" spans="11:33" ht="16" thickBot="1">
      <c r="K73" s="84" t="s">
        <v>741</v>
      </c>
      <c r="L73" s="85" t="s">
        <v>533</v>
      </c>
      <c r="M73" s="85" t="s">
        <v>533</v>
      </c>
      <c r="N73" s="85" t="s">
        <v>533</v>
      </c>
      <c r="O73" s="85" t="s">
        <v>533</v>
      </c>
      <c r="P73" s="85" t="s">
        <v>533</v>
      </c>
      <c r="S73" s="389" t="s">
        <v>742</v>
      </c>
      <c r="T73" s="389"/>
      <c r="U73" s="88">
        <v>6.83</v>
      </c>
      <c r="V73" s="88">
        <v>7.93</v>
      </c>
      <c r="W73" s="88">
        <v>5.59</v>
      </c>
      <c r="X73" s="88">
        <v>5.72</v>
      </c>
      <c r="Y73" s="88">
        <v>5.7</v>
      </c>
      <c r="AB73" s="84" t="s">
        <v>743</v>
      </c>
      <c r="AC73" s="85" t="s">
        <v>533</v>
      </c>
      <c r="AD73" s="85" t="s">
        <v>533</v>
      </c>
      <c r="AE73" s="85" t="s">
        <v>533</v>
      </c>
      <c r="AF73" s="85" t="s">
        <v>533</v>
      </c>
      <c r="AG73" s="85" t="s">
        <v>533</v>
      </c>
    </row>
    <row r="74" spans="11:33" ht="16" thickBot="1">
      <c r="K74" s="80" t="s">
        <v>744</v>
      </c>
      <c r="L74" s="81">
        <v>0</v>
      </c>
      <c r="M74" s="81">
        <v>0</v>
      </c>
      <c r="N74" s="81">
        <v>0</v>
      </c>
      <c r="O74" s="81">
        <v>0</v>
      </c>
      <c r="P74" s="81">
        <v>0</v>
      </c>
      <c r="S74" s="389" t="s">
        <v>745</v>
      </c>
      <c r="T74" s="389"/>
      <c r="U74" s="85" t="s">
        <v>533</v>
      </c>
      <c r="V74" s="85" t="s">
        <v>533</v>
      </c>
      <c r="W74" s="85" t="s">
        <v>533</v>
      </c>
      <c r="X74" s="85" t="s">
        <v>533</v>
      </c>
      <c r="Y74" s="85" t="s">
        <v>533</v>
      </c>
      <c r="AB74" s="96"/>
    </row>
    <row r="75" spans="11:33" ht="16" thickBot="1">
      <c r="K75" s="82" t="s">
        <v>746</v>
      </c>
      <c r="L75" s="83">
        <v>0</v>
      </c>
      <c r="M75" s="83">
        <v>0</v>
      </c>
      <c r="N75" s="83">
        <v>0</v>
      </c>
      <c r="O75" s="83">
        <v>0</v>
      </c>
      <c r="P75" s="83">
        <v>0</v>
      </c>
      <c r="S75" s="389" t="s">
        <v>747</v>
      </c>
      <c r="T75" s="389"/>
      <c r="U75" s="85">
        <v>17941</v>
      </c>
      <c r="V75" s="85">
        <v>20878</v>
      </c>
      <c r="W75" s="85">
        <v>14714</v>
      </c>
      <c r="X75" s="85">
        <v>15119</v>
      </c>
      <c r="Y75" s="85">
        <v>15297</v>
      </c>
      <c r="AB75" s="70" t="s">
        <v>748</v>
      </c>
      <c r="AC75" s="85">
        <v>17185</v>
      </c>
      <c r="AD75" s="85">
        <v>19758</v>
      </c>
      <c r="AE75" s="85">
        <v>20189</v>
      </c>
      <c r="AF75" s="85">
        <v>19918</v>
      </c>
      <c r="AG75" s="85">
        <v>18531</v>
      </c>
    </row>
    <row r="76" spans="11:33" ht="16" thickBot="1">
      <c r="K76" s="80" t="s">
        <v>749</v>
      </c>
      <c r="L76" s="81">
        <v>3120</v>
      </c>
      <c r="M76" s="81">
        <v>3120</v>
      </c>
      <c r="N76" s="81">
        <v>3120</v>
      </c>
      <c r="O76" s="81">
        <v>3120</v>
      </c>
      <c r="P76" s="81">
        <v>3120</v>
      </c>
      <c r="S76" s="389" t="s">
        <v>750</v>
      </c>
      <c r="T76" s="389"/>
      <c r="U76" s="85">
        <v>2664</v>
      </c>
      <c r="V76" s="85">
        <v>2674</v>
      </c>
      <c r="W76" s="85">
        <v>2671</v>
      </c>
      <c r="X76" s="85">
        <v>2684</v>
      </c>
      <c r="Y76" s="85">
        <v>2729</v>
      </c>
    </row>
    <row r="77" spans="11:33" ht="16" thickBot="1">
      <c r="K77" s="82" t="s">
        <v>751</v>
      </c>
      <c r="L77" s="83">
        <v>3120</v>
      </c>
      <c r="M77" s="83">
        <v>3120</v>
      </c>
      <c r="N77" s="83">
        <v>3120</v>
      </c>
      <c r="O77" s="83">
        <v>3120</v>
      </c>
      <c r="P77" s="83">
        <v>3120</v>
      </c>
      <c r="S77" s="389" t="s">
        <v>752</v>
      </c>
      <c r="T77" s="389"/>
      <c r="U77" s="88">
        <v>6.73</v>
      </c>
      <c r="V77" s="88">
        <v>7.81</v>
      </c>
      <c r="W77" s="88">
        <v>5.4</v>
      </c>
      <c r="X77" s="88">
        <v>5.63</v>
      </c>
      <c r="Y77" s="88">
        <v>5.61</v>
      </c>
    </row>
    <row r="78" spans="11:33" ht="16" thickBot="1">
      <c r="K78" s="84" t="s">
        <v>753</v>
      </c>
      <c r="L78" s="85" t="s">
        <v>533</v>
      </c>
      <c r="M78" s="85" t="s">
        <v>533</v>
      </c>
      <c r="N78" s="85" t="s">
        <v>533</v>
      </c>
      <c r="O78" s="85" t="s">
        <v>533</v>
      </c>
      <c r="P78" s="85" t="s">
        <v>533</v>
      </c>
      <c r="S78" s="390" t="s">
        <v>754</v>
      </c>
      <c r="T78" s="390"/>
      <c r="U78" s="88">
        <v>6.73</v>
      </c>
      <c r="V78" s="88">
        <v>7.81</v>
      </c>
      <c r="W78" s="88">
        <v>5.51</v>
      </c>
      <c r="X78" s="88">
        <v>5.63</v>
      </c>
      <c r="Y78" s="88">
        <v>5.61</v>
      </c>
    </row>
    <row r="79" spans="11:33" ht="16" thickBot="1">
      <c r="K79" s="84" t="s">
        <v>755</v>
      </c>
      <c r="L79" s="85">
        <v>128345</v>
      </c>
      <c r="M79" s="85">
        <v>123060</v>
      </c>
      <c r="N79" s="85">
        <v>113890</v>
      </c>
      <c r="O79" s="85">
        <v>110659</v>
      </c>
      <c r="P79" s="85">
        <v>106216</v>
      </c>
      <c r="S79" s="392" t="s">
        <v>756</v>
      </c>
      <c r="T79" s="392"/>
      <c r="U79" s="79"/>
      <c r="V79" s="79"/>
      <c r="W79" s="79"/>
      <c r="X79" s="79"/>
      <c r="Y79" s="79"/>
    </row>
    <row r="80" spans="11:33" ht="16" thickBot="1">
      <c r="K80" s="84" t="s">
        <v>757</v>
      </c>
      <c r="L80" s="85">
        <v>-41694</v>
      </c>
      <c r="M80" s="85">
        <v>-39099</v>
      </c>
      <c r="N80" s="85">
        <v>-38490</v>
      </c>
      <c r="O80" s="85">
        <v>-38417</v>
      </c>
      <c r="P80" s="85">
        <v>-34362</v>
      </c>
      <c r="S80" s="389" t="s">
        <v>758</v>
      </c>
      <c r="T80" s="389"/>
      <c r="U80" s="88">
        <v>4.45</v>
      </c>
      <c r="V80" s="88">
        <v>4.1900000000000004</v>
      </c>
      <c r="W80" s="88">
        <v>3.98</v>
      </c>
      <c r="X80" s="88">
        <v>3.75</v>
      </c>
      <c r="Y80" s="88">
        <v>3.54</v>
      </c>
    </row>
    <row r="81" spans="11:25" ht="16" thickBot="1">
      <c r="K81" s="84" t="s">
        <v>759</v>
      </c>
      <c r="L81" s="85" t="s">
        <v>533</v>
      </c>
      <c r="M81" s="85" t="s">
        <v>533</v>
      </c>
      <c r="N81" s="85" t="s">
        <v>533</v>
      </c>
      <c r="O81" s="85" t="s">
        <v>533</v>
      </c>
      <c r="P81" s="85" t="s">
        <v>533</v>
      </c>
      <c r="S81" s="389" t="s">
        <v>760</v>
      </c>
      <c r="T81" s="389"/>
      <c r="U81" s="88" t="s">
        <v>533</v>
      </c>
      <c r="V81" s="88" t="s">
        <v>533</v>
      </c>
      <c r="W81" s="88" t="s">
        <v>533</v>
      </c>
      <c r="X81" s="88" t="s">
        <v>533</v>
      </c>
      <c r="Y81" s="88" t="s">
        <v>533</v>
      </c>
    </row>
    <row r="82" spans="11:25" ht="16" thickBot="1">
      <c r="K82" s="84" t="s">
        <v>761</v>
      </c>
      <c r="L82" s="85">
        <v>-27</v>
      </c>
      <c r="M82" s="85">
        <v>-3</v>
      </c>
      <c r="N82" s="85">
        <v>1</v>
      </c>
      <c r="O82" s="85">
        <v>0</v>
      </c>
      <c r="P82" s="85">
        <v>0</v>
      </c>
      <c r="S82" s="389" t="s">
        <v>762</v>
      </c>
      <c r="T82" s="389"/>
      <c r="U82" s="88" t="s">
        <v>533</v>
      </c>
      <c r="V82" s="88" t="s">
        <v>533</v>
      </c>
      <c r="W82" s="88" t="s">
        <v>533</v>
      </c>
      <c r="X82" s="88" t="s">
        <v>533</v>
      </c>
      <c r="Y82" s="88" t="s">
        <v>533</v>
      </c>
    </row>
    <row r="83" spans="11:25" ht="16" thickBot="1">
      <c r="K83" s="80" t="s">
        <v>763</v>
      </c>
      <c r="L83" s="81">
        <v>-12940</v>
      </c>
      <c r="M83" s="81">
        <v>-13055</v>
      </c>
      <c r="N83" s="81">
        <v>-15243</v>
      </c>
      <c r="O83" s="81">
        <v>-15891</v>
      </c>
      <c r="P83" s="81">
        <v>-15222</v>
      </c>
      <c r="S83" s="389" t="s">
        <v>764</v>
      </c>
      <c r="T83" s="389"/>
      <c r="U83" s="88" t="s">
        <v>533</v>
      </c>
      <c r="V83" s="88" t="s">
        <v>533</v>
      </c>
      <c r="W83" s="88" t="s">
        <v>533</v>
      </c>
      <c r="X83" s="88" t="s">
        <v>533</v>
      </c>
      <c r="Y83" s="88" t="s">
        <v>533</v>
      </c>
    </row>
    <row r="84" spans="11:25" ht="16" thickBot="1">
      <c r="K84" s="82" t="s">
        <v>765</v>
      </c>
      <c r="L84" s="83">
        <v>-11813</v>
      </c>
      <c r="M84" s="83">
        <v>-10017</v>
      </c>
      <c r="N84" s="83">
        <v>-8938</v>
      </c>
      <c r="O84" s="83">
        <v>-8705</v>
      </c>
      <c r="P84" s="83">
        <v>-8869</v>
      </c>
      <c r="S84" s="389" t="s">
        <v>766</v>
      </c>
      <c r="T84" s="389"/>
      <c r="U84" s="88" t="s">
        <v>533</v>
      </c>
      <c r="V84" s="88" t="s">
        <v>533</v>
      </c>
      <c r="W84" s="88" t="s">
        <v>533</v>
      </c>
      <c r="X84" s="88" t="s">
        <v>533</v>
      </c>
      <c r="Y84" s="88" t="s">
        <v>533</v>
      </c>
    </row>
    <row r="85" spans="11:25" ht="16" thickBot="1">
      <c r="K85" s="82" t="s">
        <v>767</v>
      </c>
      <c r="L85" s="83">
        <v>-897</v>
      </c>
      <c r="M85" s="83">
        <v>-2702</v>
      </c>
      <c r="N85" s="83">
        <v>-6957</v>
      </c>
      <c r="O85" s="83">
        <v>-6891</v>
      </c>
      <c r="P85" s="83">
        <v>-6158</v>
      </c>
      <c r="S85" s="389" t="s">
        <v>768</v>
      </c>
      <c r="T85" s="389"/>
      <c r="U85" s="88" t="s">
        <v>533</v>
      </c>
      <c r="V85" s="88" t="s">
        <v>533</v>
      </c>
      <c r="W85" s="88" t="s">
        <v>533</v>
      </c>
      <c r="X85" s="88" t="s">
        <v>533</v>
      </c>
      <c r="Y85" s="88" t="s">
        <v>533</v>
      </c>
    </row>
    <row r="86" spans="11:25" ht="16" thickBot="1">
      <c r="K86" s="82" t="s">
        <v>769</v>
      </c>
      <c r="L86" s="83">
        <v>-230</v>
      </c>
      <c r="M86" s="83">
        <v>-336</v>
      </c>
      <c r="N86" s="83">
        <v>652</v>
      </c>
      <c r="O86" s="83">
        <v>-295</v>
      </c>
      <c r="P86" s="83">
        <v>-195</v>
      </c>
      <c r="S86" s="389" t="s">
        <v>770</v>
      </c>
      <c r="T86" s="389"/>
      <c r="U86" s="88" t="s">
        <v>533</v>
      </c>
      <c r="V86" s="88" t="s">
        <v>533</v>
      </c>
      <c r="W86" s="88" t="s">
        <v>533</v>
      </c>
      <c r="X86" s="88" t="s">
        <v>533</v>
      </c>
      <c r="Y86" s="88" t="s">
        <v>533</v>
      </c>
    </row>
    <row r="87" spans="11:25" ht="16" thickBot="1">
      <c r="K87" s="125" t="s">
        <v>184</v>
      </c>
      <c r="L87" s="126">
        <v>76804</v>
      </c>
      <c r="M87" s="126">
        <v>74023</v>
      </c>
      <c r="N87" s="126">
        <v>63278</v>
      </c>
      <c r="O87" s="126">
        <v>59471</v>
      </c>
      <c r="P87" s="127">
        <v>59752</v>
      </c>
      <c r="S87" s="389" t="s">
        <v>771</v>
      </c>
      <c r="T87" s="389"/>
      <c r="U87" s="88" t="s">
        <v>533</v>
      </c>
      <c r="V87" s="88" t="s">
        <v>533</v>
      </c>
      <c r="W87" s="88" t="s">
        <v>533</v>
      </c>
      <c r="X87" s="88" t="s">
        <v>533</v>
      </c>
      <c r="Y87" s="88" t="s">
        <v>533</v>
      </c>
    </row>
    <row r="88" spans="11:25" ht="16" thickBot="1">
      <c r="K88" s="124"/>
      <c r="L88" s="124"/>
      <c r="M88" s="124"/>
      <c r="N88" s="124"/>
      <c r="O88" s="124"/>
      <c r="P88" s="124"/>
      <c r="S88" s="389" t="s">
        <v>772</v>
      </c>
      <c r="T88" s="389"/>
      <c r="U88" s="85">
        <v>11682</v>
      </c>
      <c r="V88" s="85">
        <v>11032</v>
      </c>
      <c r="W88" s="85">
        <v>10481</v>
      </c>
      <c r="X88" s="85">
        <v>9917</v>
      </c>
      <c r="Y88" s="85">
        <v>9494</v>
      </c>
    </row>
    <row r="89" spans="11:25" ht="16" thickBot="1">
      <c r="K89" s="125" t="s">
        <v>773</v>
      </c>
      <c r="L89" s="126">
        <v>187378</v>
      </c>
      <c r="M89" s="126">
        <v>182018</v>
      </c>
      <c r="N89" s="126">
        <v>174894</v>
      </c>
      <c r="O89" s="126">
        <v>157728</v>
      </c>
      <c r="P89" s="127">
        <v>152954</v>
      </c>
      <c r="S89" s="389" t="s">
        <v>774</v>
      </c>
      <c r="T89" s="389"/>
      <c r="U89" s="85" t="s">
        <v>533</v>
      </c>
      <c r="V89" s="85" t="s">
        <v>533</v>
      </c>
      <c r="W89" s="85" t="s">
        <v>533</v>
      </c>
      <c r="X89" s="85" t="s">
        <v>533</v>
      </c>
      <c r="Y89" s="85" t="s">
        <v>533</v>
      </c>
    </row>
    <row r="90" spans="11:25" ht="16" thickBot="1">
      <c r="K90" s="124"/>
      <c r="L90" s="124"/>
      <c r="M90" s="124"/>
      <c r="N90" s="124"/>
      <c r="O90" s="124"/>
      <c r="P90" s="124"/>
      <c r="S90" s="389" t="s">
        <v>775</v>
      </c>
      <c r="T90" s="389"/>
      <c r="U90" s="85" t="s">
        <v>533</v>
      </c>
      <c r="V90" s="85" t="s">
        <v>533</v>
      </c>
      <c r="W90" s="85" t="s">
        <v>533</v>
      </c>
      <c r="X90" s="85" t="s">
        <v>533</v>
      </c>
      <c r="Y90" s="85" t="s">
        <v>533</v>
      </c>
    </row>
    <row r="91" spans="11:25" ht="16" thickBot="1">
      <c r="K91" s="79" t="s">
        <v>756</v>
      </c>
      <c r="L91" s="79"/>
      <c r="M91" s="79"/>
      <c r="N91" s="79"/>
      <c r="O91" s="79"/>
      <c r="P91" s="79"/>
      <c r="S91" s="389" t="s">
        <v>776</v>
      </c>
      <c r="T91" s="389"/>
      <c r="U91" s="88" t="s">
        <v>533</v>
      </c>
      <c r="V91" s="88" t="s">
        <v>533</v>
      </c>
      <c r="W91" s="88" t="s">
        <v>533</v>
      </c>
      <c r="X91" s="88" t="s">
        <v>533</v>
      </c>
      <c r="Y91" s="88" t="s">
        <v>533</v>
      </c>
    </row>
    <row r="92" spans="11:25" ht="16" thickBot="1">
      <c r="K92" s="84" t="s">
        <v>777</v>
      </c>
      <c r="L92" s="85" t="s">
        <v>533</v>
      </c>
      <c r="M92" s="85" t="s">
        <v>533</v>
      </c>
      <c r="N92" s="85" t="s">
        <v>533</v>
      </c>
      <c r="O92" s="85" t="s">
        <v>533</v>
      </c>
      <c r="P92" s="85" t="s">
        <v>533</v>
      </c>
      <c r="S92" s="389" t="s">
        <v>778</v>
      </c>
      <c r="T92" s="389"/>
      <c r="U92" s="88" t="s">
        <v>533</v>
      </c>
      <c r="V92" s="88" t="s">
        <v>533</v>
      </c>
      <c r="W92" s="88" t="s">
        <v>533</v>
      </c>
      <c r="X92" s="88" t="s">
        <v>533</v>
      </c>
      <c r="Y92" s="88" t="s">
        <v>533</v>
      </c>
    </row>
    <row r="93" spans="11:25" ht="16" thickBot="1">
      <c r="K93" s="84" t="s">
        <v>779</v>
      </c>
      <c r="L93" s="85" t="s">
        <v>533</v>
      </c>
      <c r="M93" s="85" t="s">
        <v>533</v>
      </c>
      <c r="N93" s="85" t="s">
        <v>533</v>
      </c>
      <c r="O93" s="85" t="s">
        <v>533</v>
      </c>
      <c r="P93" s="85" t="s">
        <v>533</v>
      </c>
      <c r="S93" s="389" t="s">
        <v>780</v>
      </c>
      <c r="T93" s="389"/>
      <c r="U93" s="85" t="s">
        <v>533</v>
      </c>
      <c r="V93" s="85" t="s">
        <v>533</v>
      </c>
      <c r="W93" s="85" t="s">
        <v>533</v>
      </c>
      <c r="X93" s="85" t="s">
        <v>533</v>
      </c>
      <c r="Y93" s="85" t="s">
        <v>533</v>
      </c>
    </row>
    <row r="94" spans="11:25" ht="16" thickBot="1">
      <c r="K94" s="84" t="s">
        <v>781</v>
      </c>
      <c r="L94" s="85" t="s">
        <v>533</v>
      </c>
      <c r="M94" s="85" t="s">
        <v>533</v>
      </c>
      <c r="N94" s="85" t="s">
        <v>533</v>
      </c>
      <c r="O94" s="85" t="s">
        <v>533</v>
      </c>
      <c r="P94" s="85" t="s">
        <v>533</v>
      </c>
      <c r="S94" s="389" t="s">
        <v>782</v>
      </c>
      <c r="T94" s="389"/>
      <c r="U94" s="85" t="s">
        <v>533</v>
      </c>
      <c r="V94" s="85" t="s">
        <v>533</v>
      </c>
      <c r="W94" s="85" t="s">
        <v>533</v>
      </c>
      <c r="X94" s="85" t="s">
        <v>533</v>
      </c>
      <c r="Y94" s="85" t="s">
        <v>533</v>
      </c>
    </row>
    <row r="95" spans="11:25" ht="16" thickBot="1">
      <c r="K95" s="80" t="s">
        <v>783</v>
      </c>
      <c r="L95" s="81">
        <v>2614</v>
      </c>
      <c r="M95" s="81">
        <v>2629</v>
      </c>
      <c r="N95" s="81">
        <v>2633</v>
      </c>
      <c r="O95" s="81">
        <v>2633</v>
      </c>
      <c r="P95" s="81">
        <v>2662</v>
      </c>
      <c r="S95" s="389" t="s">
        <v>784</v>
      </c>
      <c r="T95" s="389"/>
      <c r="U95" s="85" t="s">
        <v>533</v>
      </c>
      <c r="V95" s="85" t="s">
        <v>533</v>
      </c>
      <c r="W95" s="85">
        <v>100</v>
      </c>
      <c r="X95" s="85" t="s">
        <v>533</v>
      </c>
      <c r="Y95" s="85" t="s">
        <v>533</v>
      </c>
    </row>
    <row r="96" spans="11:25" ht="16" thickBot="1">
      <c r="K96" s="82" t="s">
        <v>785</v>
      </c>
      <c r="L96" s="83">
        <v>2614</v>
      </c>
      <c r="M96" s="83">
        <v>2629</v>
      </c>
      <c r="N96" s="83">
        <v>2633</v>
      </c>
      <c r="O96" s="83">
        <v>2633</v>
      </c>
      <c r="P96" s="83">
        <v>2662</v>
      </c>
      <c r="S96" s="389" t="s">
        <v>786</v>
      </c>
      <c r="T96" s="389"/>
      <c r="U96" s="85" t="s">
        <v>533</v>
      </c>
      <c r="V96" s="85" t="s">
        <v>533</v>
      </c>
      <c r="W96" s="85" t="s">
        <v>533</v>
      </c>
      <c r="X96" s="85">
        <v>5100</v>
      </c>
      <c r="Y96" s="85">
        <v>2000</v>
      </c>
    </row>
    <row r="97" spans="11:25" ht="16" thickBot="1">
      <c r="K97" s="84" t="s">
        <v>787</v>
      </c>
      <c r="L97" s="85">
        <v>506</v>
      </c>
      <c r="M97" s="85">
        <v>491</v>
      </c>
      <c r="N97" s="85">
        <v>487</v>
      </c>
      <c r="O97" s="85">
        <v>487</v>
      </c>
      <c r="P97" s="85">
        <v>458</v>
      </c>
      <c r="S97" s="389" t="s">
        <v>788</v>
      </c>
      <c r="T97" s="389"/>
      <c r="U97" s="85" t="s">
        <v>533</v>
      </c>
      <c r="V97" s="85" t="s">
        <v>533</v>
      </c>
      <c r="W97" s="85" t="s">
        <v>533</v>
      </c>
      <c r="X97" s="85" t="s">
        <v>533</v>
      </c>
      <c r="Y97" s="85" t="s">
        <v>533</v>
      </c>
    </row>
    <row r="98" spans="11:25" ht="16" thickBot="1">
      <c r="K98" s="84" t="s">
        <v>789</v>
      </c>
      <c r="L98" s="85" t="s">
        <v>533</v>
      </c>
      <c r="M98" s="85" t="s">
        <v>533</v>
      </c>
      <c r="N98" s="85" t="s">
        <v>533</v>
      </c>
      <c r="O98" s="85" t="s">
        <v>533</v>
      </c>
      <c r="P98" s="85" t="s">
        <v>533</v>
      </c>
      <c r="S98" s="389" t="s">
        <v>790</v>
      </c>
      <c r="T98" s="389"/>
      <c r="U98" s="85" t="s">
        <v>533</v>
      </c>
      <c r="V98" s="85" t="s">
        <v>533</v>
      </c>
      <c r="W98" s="85" t="s">
        <v>533</v>
      </c>
      <c r="X98" s="85" t="s">
        <v>533</v>
      </c>
      <c r="Y98" s="85" t="s">
        <v>533</v>
      </c>
    </row>
    <row r="99" spans="11:25" ht="16" thickBot="1">
      <c r="K99" s="84" t="s">
        <v>791</v>
      </c>
      <c r="L99" s="85" t="s">
        <v>533</v>
      </c>
      <c r="M99" s="85" t="s">
        <v>533</v>
      </c>
      <c r="N99" s="85" t="s">
        <v>533</v>
      </c>
      <c r="O99" s="85" t="s">
        <v>533</v>
      </c>
      <c r="P99" s="85" t="s">
        <v>533</v>
      </c>
      <c r="S99" s="389" t="s">
        <v>792</v>
      </c>
      <c r="T99" s="389"/>
      <c r="U99" s="85">
        <v>1100</v>
      </c>
      <c r="V99" s="85" t="s">
        <v>533</v>
      </c>
      <c r="W99" s="85">
        <v>300</v>
      </c>
      <c r="X99" s="85">
        <v>198</v>
      </c>
      <c r="Y99" s="85">
        <v>200</v>
      </c>
    </row>
    <row r="100" spans="11:25" ht="16" thickBot="1">
      <c r="K100" s="84" t="s">
        <v>793</v>
      </c>
      <c r="L100" s="85" t="s">
        <v>533</v>
      </c>
      <c r="M100" s="85" t="s">
        <v>533</v>
      </c>
      <c r="N100" s="85" t="s">
        <v>533</v>
      </c>
      <c r="O100" s="85" t="s">
        <v>533</v>
      </c>
      <c r="P100" s="85" t="s">
        <v>533</v>
      </c>
      <c r="S100" s="389" t="s">
        <v>794</v>
      </c>
      <c r="T100" s="389"/>
      <c r="U100" s="85">
        <v>1100</v>
      </c>
      <c r="V100" s="85" t="s">
        <v>533</v>
      </c>
      <c r="W100" s="85">
        <v>400</v>
      </c>
      <c r="X100" s="85">
        <v>5298</v>
      </c>
      <c r="Y100" s="85">
        <v>2200</v>
      </c>
    </row>
    <row r="101" spans="11:25" ht="16" thickBot="1">
      <c r="K101" s="84" t="s">
        <v>795</v>
      </c>
      <c r="L101" s="85" t="s">
        <v>533</v>
      </c>
      <c r="M101" s="85" t="s">
        <v>533</v>
      </c>
      <c r="N101" s="85" t="s">
        <v>533</v>
      </c>
      <c r="O101" s="85" t="s">
        <v>533</v>
      </c>
      <c r="P101" s="85" t="s">
        <v>533</v>
      </c>
      <c r="S101" s="389" t="s">
        <v>796</v>
      </c>
      <c r="T101" s="389"/>
      <c r="U101" s="85">
        <v>6104</v>
      </c>
      <c r="V101" s="85">
        <v>4041</v>
      </c>
      <c r="W101" s="85">
        <v>4828</v>
      </c>
      <c r="X101" s="85">
        <v>6754</v>
      </c>
      <c r="Y101" s="85">
        <v>4026</v>
      </c>
    </row>
    <row r="102" spans="11:25" ht="16" thickBot="1">
      <c r="K102" s="84" t="s">
        <v>797</v>
      </c>
      <c r="L102" s="85" t="s">
        <v>533</v>
      </c>
      <c r="M102" s="85" t="s">
        <v>533</v>
      </c>
      <c r="N102" s="85" t="s">
        <v>533</v>
      </c>
      <c r="O102" s="85" t="s">
        <v>533</v>
      </c>
      <c r="P102" s="85" t="s">
        <v>533</v>
      </c>
      <c r="S102" s="389" t="s">
        <v>798</v>
      </c>
      <c r="T102" s="389"/>
      <c r="U102" s="85">
        <v>27829</v>
      </c>
      <c r="V102" s="85">
        <v>26817</v>
      </c>
      <c r="W102" s="85">
        <v>21325</v>
      </c>
      <c r="X102" s="85">
        <v>24082</v>
      </c>
      <c r="Y102" s="85">
        <v>22025</v>
      </c>
    </row>
    <row r="103" spans="11:25" ht="16" thickBot="1">
      <c r="K103" s="84" t="s">
        <v>799</v>
      </c>
      <c r="L103" s="85" t="s">
        <v>533</v>
      </c>
      <c r="M103" s="85" t="s">
        <v>533</v>
      </c>
      <c r="N103" s="85" t="s">
        <v>533</v>
      </c>
      <c r="O103" s="85" t="s">
        <v>533</v>
      </c>
      <c r="P103" s="85" t="s">
        <v>533</v>
      </c>
      <c r="S103" s="389" t="s">
        <v>800</v>
      </c>
      <c r="T103" s="389"/>
      <c r="U103" s="85">
        <v>927</v>
      </c>
      <c r="V103" s="85">
        <v>262</v>
      </c>
      <c r="W103" s="85">
        <v>587</v>
      </c>
      <c r="X103" s="85">
        <v>748</v>
      </c>
      <c r="Y103" s="85">
        <v>435</v>
      </c>
    </row>
    <row r="104" spans="11:25" ht="16" thickBot="1">
      <c r="K104" s="84" t="s">
        <v>801</v>
      </c>
      <c r="L104" s="85" t="s">
        <v>533</v>
      </c>
      <c r="M104" s="85" t="s">
        <v>533</v>
      </c>
      <c r="N104" s="85" t="s">
        <v>533</v>
      </c>
      <c r="O104" s="85" t="s">
        <v>533</v>
      </c>
      <c r="P104" s="85" t="s">
        <v>533</v>
      </c>
      <c r="S104" s="389" t="s">
        <v>802</v>
      </c>
      <c r="T104" s="389"/>
      <c r="U104" s="85">
        <v>4711</v>
      </c>
      <c r="V104" s="85">
        <v>2160</v>
      </c>
      <c r="W104" s="85">
        <v>2670</v>
      </c>
      <c r="X104" s="85">
        <v>2957</v>
      </c>
      <c r="Y104" s="85">
        <v>3137</v>
      </c>
    </row>
    <row r="105" spans="11:25" ht="16" thickBot="1">
      <c r="K105" s="84" t="s">
        <v>803</v>
      </c>
      <c r="L105" s="85" t="s">
        <v>533</v>
      </c>
      <c r="M105" s="85" t="s">
        <v>533</v>
      </c>
      <c r="N105" s="85" t="s">
        <v>533</v>
      </c>
      <c r="O105" s="85" t="s">
        <v>533</v>
      </c>
      <c r="P105" s="85" t="s">
        <v>533</v>
      </c>
      <c r="S105" s="389" t="s">
        <v>804</v>
      </c>
      <c r="T105" s="389"/>
      <c r="U105" s="85">
        <v>23118</v>
      </c>
      <c r="V105" s="85">
        <v>24657</v>
      </c>
      <c r="W105" s="85">
        <v>18655</v>
      </c>
      <c r="X105" s="85">
        <v>21125</v>
      </c>
      <c r="Y105" s="85">
        <v>18888</v>
      </c>
    </row>
    <row r="106" spans="11:25" ht="16" thickBot="1">
      <c r="K106" s="84" t="s">
        <v>805</v>
      </c>
      <c r="L106" s="85" t="s">
        <v>533</v>
      </c>
      <c r="M106" s="85" t="s">
        <v>533</v>
      </c>
      <c r="N106" s="85" t="s">
        <v>533</v>
      </c>
      <c r="O106" s="85" t="s">
        <v>533</v>
      </c>
      <c r="P106" s="85" t="s">
        <v>533</v>
      </c>
      <c r="S106" s="389" t="s">
        <v>806</v>
      </c>
      <c r="T106" s="389"/>
      <c r="U106" s="85">
        <v>23118</v>
      </c>
      <c r="V106" s="85">
        <v>24657</v>
      </c>
      <c r="W106" s="85">
        <v>18655</v>
      </c>
      <c r="X106" s="85">
        <v>21125</v>
      </c>
      <c r="Y106" s="85">
        <v>18888</v>
      </c>
    </row>
    <row r="107" spans="11:25" ht="16" thickBot="1">
      <c r="K107" s="84" t="s">
        <v>807</v>
      </c>
      <c r="L107" s="85" t="s">
        <v>533</v>
      </c>
      <c r="M107" s="85" t="s">
        <v>533</v>
      </c>
      <c r="N107" s="85" t="s">
        <v>533</v>
      </c>
      <c r="O107" s="85" t="s">
        <v>533</v>
      </c>
      <c r="P107" s="85" t="s">
        <v>533</v>
      </c>
      <c r="S107" s="389" t="s">
        <v>808</v>
      </c>
      <c r="T107" s="389"/>
      <c r="U107" s="88">
        <v>8.81</v>
      </c>
      <c r="V107" s="88">
        <v>9.3699999999999992</v>
      </c>
      <c r="W107" s="88">
        <v>7.09</v>
      </c>
      <c r="X107" s="88">
        <v>7.99</v>
      </c>
      <c r="Y107" s="88">
        <v>7.04</v>
      </c>
    </row>
    <row r="108" spans="11:25" ht="16" thickBot="1">
      <c r="K108" s="84" t="s">
        <v>809</v>
      </c>
      <c r="L108" s="85" t="s">
        <v>533</v>
      </c>
      <c r="M108" s="85" t="s">
        <v>533</v>
      </c>
      <c r="N108" s="85" t="s">
        <v>533</v>
      </c>
      <c r="O108" s="85" t="s">
        <v>533</v>
      </c>
      <c r="P108" s="85" t="s">
        <v>533</v>
      </c>
      <c r="S108" s="389" t="s">
        <v>810</v>
      </c>
      <c r="T108" s="389"/>
      <c r="U108" s="88">
        <v>8.68</v>
      </c>
      <c r="V108" s="88">
        <v>9.2200000000000006</v>
      </c>
      <c r="W108" s="88">
        <v>6.99</v>
      </c>
      <c r="X108" s="88">
        <v>7.87</v>
      </c>
      <c r="Y108" s="88">
        <v>6.92</v>
      </c>
    </row>
    <row r="109" spans="11:25" ht="16" thickBot="1">
      <c r="K109" s="84" t="s">
        <v>811</v>
      </c>
      <c r="L109" s="85" t="s">
        <v>533</v>
      </c>
      <c r="M109" s="85" t="s">
        <v>533</v>
      </c>
      <c r="N109" s="85" t="s">
        <v>533</v>
      </c>
      <c r="O109" s="85" t="s">
        <v>533</v>
      </c>
      <c r="P109" s="85" t="s">
        <v>533</v>
      </c>
      <c r="S109" s="389" t="s">
        <v>812</v>
      </c>
      <c r="T109" s="389"/>
      <c r="U109" s="88" t="s">
        <v>533</v>
      </c>
      <c r="V109" s="88" t="s">
        <v>533</v>
      </c>
      <c r="W109" s="88" t="s">
        <v>533</v>
      </c>
      <c r="X109" s="88" t="s">
        <v>533</v>
      </c>
      <c r="Y109" s="88" t="s">
        <v>533</v>
      </c>
    </row>
    <row r="110" spans="11:25" ht="16" thickBot="1">
      <c r="K110" s="84" t="s">
        <v>813</v>
      </c>
      <c r="L110" s="85">
        <v>76804</v>
      </c>
      <c r="M110" s="85">
        <v>74023</v>
      </c>
      <c r="N110" s="85">
        <v>63278</v>
      </c>
      <c r="O110" s="85">
        <v>59471</v>
      </c>
      <c r="P110" s="85">
        <v>59752</v>
      </c>
      <c r="S110" s="389" t="s">
        <v>814</v>
      </c>
      <c r="T110" s="389"/>
      <c r="U110" s="85" t="s">
        <v>533</v>
      </c>
      <c r="V110" s="85" t="s">
        <v>533</v>
      </c>
      <c r="W110" s="85" t="s">
        <v>533</v>
      </c>
      <c r="X110" s="85" t="s">
        <v>533</v>
      </c>
      <c r="Y110" s="85" t="s">
        <v>533</v>
      </c>
    </row>
    <row r="111" spans="11:25" ht="16" thickBot="1">
      <c r="K111" s="84" t="s">
        <v>815</v>
      </c>
      <c r="L111" s="85">
        <v>152700</v>
      </c>
      <c r="M111" s="85">
        <v>141700</v>
      </c>
      <c r="N111" s="85">
        <v>134500</v>
      </c>
      <c r="O111" s="85">
        <v>132200</v>
      </c>
      <c r="P111" s="85">
        <v>135100</v>
      </c>
      <c r="S111" s="389" t="s">
        <v>816</v>
      </c>
      <c r="T111" s="389"/>
      <c r="U111" s="85" t="s">
        <v>533</v>
      </c>
      <c r="V111" s="85" t="s">
        <v>533</v>
      </c>
      <c r="W111" s="85" t="s">
        <v>533</v>
      </c>
      <c r="X111" s="85" t="s">
        <v>533</v>
      </c>
      <c r="Y111" s="85" t="s">
        <v>533</v>
      </c>
    </row>
    <row r="112" spans="11:25" ht="16" thickBot="1">
      <c r="K112" s="84" t="s">
        <v>817</v>
      </c>
      <c r="L112" s="85" t="s">
        <v>533</v>
      </c>
      <c r="M112" s="85" t="s">
        <v>533</v>
      </c>
      <c r="N112" s="85" t="s">
        <v>533</v>
      </c>
      <c r="O112" s="85" t="s">
        <v>533</v>
      </c>
      <c r="P112" s="85" t="s">
        <v>533</v>
      </c>
      <c r="S112" s="389" t="s">
        <v>818</v>
      </c>
      <c r="T112" s="389"/>
      <c r="U112" s="85">
        <v>4300</v>
      </c>
      <c r="V112" s="85">
        <v>4700</v>
      </c>
      <c r="W112" s="85">
        <v>4700</v>
      </c>
      <c r="X112" s="85">
        <v>4500</v>
      </c>
      <c r="Y112" s="85">
        <v>4400</v>
      </c>
    </row>
    <row r="113" spans="11:25" ht="16" thickBot="1">
      <c r="K113" s="84" t="s">
        <v>819</v>
      </c>
      <c r="L113" s="85">
        <v>124211</v>
      </c>
      <c r="M113" s="85">
        <v>127899</v>
      </c>
      <c r="N113" s="85">
        <v>132376</v>
      </c>
      <c r="O113" s="85">
        <v>135953</v>
      </c>
      <c r="P113" s="85">
        <v>142029</v>
      </c>
      <c r="S113" s="389" t="s">
        <v>820</v>
      </c>
      <c r="T113" s="389"/>
      <c r="U113" s="85" t="s">
        <v>533</v>
      </c>
      <c r="V113" s="85" t="s">
        <v>533</v>
      </c>
      <c r="W113" s="85" t="s">
        <v>533</v>
      </c>
      <c r="X113" s="85" t="s">
        <v>533</v>
      </c>
      <c r="Y113" s="85" t="s">
        <v>533</v>
      </c>
    </row>
    <row r="114" spans="11:25" ht="16" thickBot="1">
      <c r="K114" s="84" t="s">
        <v>821</v>
      </c>
      <c r="L114" s="85" t="s">
        <v>533</v>
      </c>
      <c r="M114" s="85" t="s">
        <v>533</v>
      </c>
      <c r="N114" s="85" t="s">
        <v>533</v>
      </c>
      <c r="O114" s="85" t="s">
        <v>533</v>
      </c>
      <c r="P114" s="85" t="s">
        <v>533</v>
      </c>
      <c r="S114" s="389" t="s">
        <v>822</v>
      </c>
      <c r="T114" s="389"/>
      <c r="U114" s="85">
        <v>2700</v>
      </c>
      <c r="V114" s="85">
        <v>2700</v>
      </c>
      <c r="W114" s="85">
        <v>2600</v>
      </c>
      <c r="X114" s="85">
        <v>2509</v>
      </c>
      <c r="Y114" s="85">
        <v>2529</v>
      </c>
    </row>
    <row r="115" spans="11:25" ht="16" thickBot="1">
      <c r="K115" s="84" t="s">
        <v>823</v>
      </c>
      <c r="L115" s="85" t="s">
        <v>533</v>
      </c>
      <c r="M115" s="85" t="s">
        <v>533</v>
      </c>
      <c r="N115" s="85" t="s">
        <v>533</v>
      </c>
      <c r="O115" s="85" t="s">
        <v>533</v>
      </c>
      <c r="P115" s="85" t="s">
        <v>533</v>
      </c>
      <c r="S115" s="389" t="s">
        <v>824</v>
      </c>
      <c r="T115" s="389"/>
      <c r="U115" s="85" t="s">
        <v>533</v>
      </c>
      <c r="V115" s="85" t="s">
        <v>533</v>
      </c>
      <c r="W115" s="85" t="s">
        <v>533</v>
      </c>
      <c r="X115" s="85" t="s">
        <v>533</v>
      </c>
      <c r="Y115" s="85" t="s">
        <v>533</v>
      </c>
    </row>
    <row r="116" spans="11:25" ht="16" thickBot="1">
      <c r="K116" s="84" t="s">
        <v>825</v>
      </c>
      <c r="L116" s="85">
        <v>45231</v>
      </c>
      <c r="M116" s="85">
        <v>35246</v>
      </c>
      <c r="N116" s="85">
        <v>36393</v>
      </c>
      <c r="O116" s="85">
        <v>33639</v>
      </c>
      <c r="P116" s="85">
        <v>30453</v>
      </c>
      <c r="S116" s="389" t="s">
        <v>826</v>
      </c>
      <c r="T116" s="389"/>
      <c r="U116" s="85">
        <v>276</v>
      </c>
      <c r="V116" s="85">
        <v>183</v>
      </c>
      <c r="W116" s="85">
        <v>201</v>
      </c>
      <c r="X116" s="85">
        <v>318</v>
      </c>
      <c r="Y116" s="85">
        <v>1005</v>
      </c>
    </row>
    <row r="117" spans="11:25" ht="16" thickBot="1">
      <c r="K117" s="84" t="s">
        <v>827</v>
      </c>
      <c r="L117" s="85" t="s">
        <v>533</v>
      </c>
      <c r="M117" s="85" t="s">
        <v>533</v>
      </c>
      <c r="N117" s="85" t="s">
        <v>533</v>
      </c>
      <c r="O117" s="85" t="s">
        <v>533</v>
      </c>
      <c r="P117" s="85" t="s">
        <v>533</v>
      </c>
      <c r="S117" s="389" t="s">
        <v>828</v>
      </c>
      <c r="T117" s="389"/>
      <c r="U117" s="85">
        <v>-49</v>
      </c>
      <c r="V117" s="85">
        <v>-49</v>
      </c>
      <c r="W117" s="85">
        <v>-63</v>
      </c>
      <c r="X117" s="85">
        <v>-70</v>
      </c>
      <c r="Y117" s="85">
        <v>-86</v>
      </c>
    </row>
    <row r="118" spans="11:25" ht="16" thickBot="1">
      <c r="K118" s="84" t="s">
        <v>829</v>
      </c>
      <c r="L118" s="85">
        <v>35167</v>
      </c>
      <c r="M118" s="85">
        <v>32013</v>
      </c>
      <c r="N118" s="85">
        <v>28530</v>
      </c>
      <c r="O118" s="85">
        <v>22616</v>
      </c>
      <c r="P118" s="85">
        <v>18107</v>
      </c>
      <c r="S118" s="389" t="s">
        <v>830</v>
      </c>
      <c r="T118" s="389"/>
      <c r="U118" s="85" t="s">
        <v>533</v>
      </c>
      <c r="V118" s="85" t="s">
        <v>533</v>
      </c>
      <c r="W118" s="85" t="s">
        <v>533</v>
      </c>
      <c r="X118" s="85" t="s">
        <v>533</v>
      </c>
      <c r="Y118" s="85" t="s">
        <v>533</v>
      </c>
    </row>
    <row r="119" spans="11:25" ht="16" thickBot="1">
      <c r="K119" s="84" t="s">
        <v>831</v>
      </c>
      <c r="L119" s="85" t="s">
        <v>533</v>
      </c>
      <c r="M119" s="85" t="s">
        <v>533</v>
      </c>
      <c r="N119" s="85" t="s">
        <v>533</v>
      </c>
      <c r="O119" s="85" t="s">
        <v>533</v>
      </c>
      <c r="P119" s="85" t="s">
        <v>533</v>
      </c>
      <c r="S119" s="389" t="s">
        <v>832</v>
      </c>
      <c r="T119" s="389"/>
      <c r="U119" s="85" t="s">
        <v>533</v>
      </c>
      <c r="V119" s="85" t="s">
        <v>533</v>
      </c>
      <c r="W119" s="85" t="s">
        <v>533</v>
      </c>
      <c r="X119" s="85" t="s">
        <v>533</v>
      </c>
      <c r="Y119" s="85" t="s">
        <v>533</v>
      </c>
    </row>
    <row r="120" spans="11:25" ht="16" thickBot="1">
      <c r="K120" s="84" t="s">
        <v>833</v>
      </c>
      <c r="L120" s="85" t="s">
        <v>533</v>
      </c>
      <c r="M120" s="85" t="s">
        <v>533</v>
      </c>
      <c r="N120" s="85" t="s">
        <v>533</v>
      </c>
      <c r="O120" s="85" t="s">
        <v>533</v>
      </c>
      <c r="P120" s="85" t="s">
        <v>533</v>
      </c>
      <c r="S120" s="389" t="s">
        <v>834</v>
      </c>
      <c r="T120" s="389"/>
      <c r="U120" s="85" t="s">
        <v>533</v>
      </c>
      <c r="V120" s="85" t="s">
        <v>533</v>
      </c>
      <c r="W120" s="85" t="s">
        <v>533</v>
      </c>
      <c r="X120" s="85" t="s">
        <v>533</v>
      </c>
      <c r="Y120" s="85" t="s">
        <v>533</v>
      </c>
    </row>
    <row r="121" spans="11:25" ht="16" thickBot="1">
      <c r="K121" s="84" t="s">
        <v>835</v>
      </c>
      <c r="L121" s="85" t="s">
        <v>533</v>
      </c>
      <c r="M121" s="85" t="s">
        <v>533</v>
      </c>
      <c r="N121" s="85" t="s">
        <v>533</v>
      </c>
      <c r="O121" s="85" t="s">
        <v>533</v>
      </c>
      <c r="P121" s="85" t="s">
        <v>533</v>
      </c>
      <c r="S121" s="389" t="s">
        <v>836</v>
      </c>
      <c r="T121" s="389"/>
      <c r="U121" s="85">
        <v>300</v>
      </c>
      <c r="V121" s="85">
        <v>300</v>
      </c>
      <c r="W121" s="85">
        <v>300</v>
      </c>
      <c r="X121" s="85">
        <v>307</v>
      </c>
      <c r="Y121" s="85">
        <v>332</v>
      </c>
    </row>
    <row r="122" spans="11:25" ht="16" thickBot="1">
      <c r="K122" s="84" t="s">
        <v>837</v>
      </c>
      <c r="L122" s="85" t="s">
        <v>533</v>
      </c>
      <c r="M122" s="85" t="s">
        <v>533</v>
      </c>
      <c r="N122" s="85" t="s">
        <v>533</v>
      </c>
      <c r="O122" s="85" t="s">
        <v>533</v>
      </c>
      <c r="P122" s="85" t="s">
        <v>533</v>
      </c>
      <c r="S122" s="389" t="s">
        <v>838</v>
      </c>
      <c r="T122" s="389"/>
      <c r="U122" s="85" t="s">
        <v>533</v>
      </c>
      <c r="V122" s="85" t="s">
        <v>533</v>
      </c>
      <c r="W122" s="85" t="s">
        <v>533</v>
      </c>
      <c r="X122" s="85" t="s">
        <v>533</v>
      </c>
      <c r="Y122" s="85" t="s">
        <v>533</v>
      </c>
    </row>
    <row r="123" spans="11:25" ht="16" thickBot="1">
      <c r="K123" s="84" t="s">
        <v>839</v>
      </c>
      <c r="L123" s="85" t="s">
        <v>533</v>
      </c>
      <c r="M123" s="85" t="s">
        <v>533</v>
      </c>
      <c r="N123" s="85" t="s">
        <v>533</v>
      </c>
      <c r="O123" s="85" t="s">
        <v>533</v>
      </c>
      <c r="P123" s="85" t="s">
        <v>533</v>
      </c>
      <c r="S123" s="389" t="s">
        <v>840</v>
      </c>
      <c r="T123" s="389"/>
      <c r="U123" s="85">
        <v>1138</v>
      </c>
      <c r="V123" s="85">
        <v>1135</v>
      </c>
      <c r="W123" s="85">
        <v>1005</v>
      </c>
      <c r="X123" s="85">
        <v>977</v>
      </c>
      <c r="Y123" s="85">
        <v>978</v>
      </c>
    </row>
    <row r="124" spans="11:25" ht="16" thickBot="1">
      <c r="K124" s="84" t="s">
        <v>841</v>
      </c>
      <c r="L124" s="85" t="s">
        <v>533</v>
      </c>
      <c r="M124" s="85" t="s">
        <v>533</v>
      </c>
      <c r="N124" s="85" t="s">
        <v>533</v>
      </c>
      <c r="O124" s="85" t="s">
        <v>533</v>
      </c>
      <c r="P124" s="85" t="s">
        <v>533</v>
      </c>
      <c r="S124" s="389" t="s">
        <v>842</v>
      </c>
      <c r="T124" s="389"/>
      <c r="U124" s="85" t="s">
        <v>533</v>
      </c>
      <c r="V124" s="85" t="s">
        <v>533</v>
      </c>
      <c r="W124" s="85" t="s">
        <v>533</v>
      </c>
      <c r="X124" s="85" t="s">
        <v>533</v>
      </c>
      <c r="Y124" s="85" t="s">
        <v>533</v>
      </c>
    </row>
    <row r="125" spans="11:25" ht="16" thickBot="1">
      <c r="K125" s="84" t="s">
        <v>843</v>
      </c>
      <c r="L125" s="85" t="s">
        <v>533</v>
      </c>
      <c r="M125" s="85" t="s">
        <v>533</v>
      </c>
      <c r="N125" s="85" t="s">
        <v>533</v>
      </c>
      <c r="O125" s="85" t="s">
        <v>533</v>
      </c>
      <c r="P125" s="85" t="s">
        <v>533</v>
      </c>
      <c r="S125" s="389" t="s">
        <v>844</v>
      </c>
      <c r="T125" s="389"/>
      <c r="U125" s="85" t="s">
        <v>533</v>
      </c>
      <c r="V125" s="85" t="s">
        <v>533</v>
      </c>
      <c r="W125" s="85" t="s">
        <v>533</v>
      </c>
      <c r="X125" s="85" t="s">
        <v>533</v>
      </c>
      <c r="Y125" s="85" t="s">
        <v>533</v>
      </c>
    </row>
    <row r="126" spans="11:25" ht="16" thickBot="1">
      <c r="K126" s="84" t="s">
        <v>845</v>
      </c>
      <c r="L126" s="85">
        <v>1100</v>
      </c>
      <c r="M126" s="85">
        <v>900</v>
      </c>
      <c r="N126" s="85">
        <v>1000</v>
      </c>
      <c r="O126" s="85">
        <v>957</v>
      </c>
      <c r="P126" s="85" t="s">
        <v>533</v>
      </c>
      <c r="S126" s="389" t="s">
        <v>846</v>
      </c>
      <c r="T126" s="389"/>
      <c r="U126" s="85" t="s">
        <v>533</v>
      </c>
      <c r="V126" s="85" t="s">
        <v>533</v>
      </c>
      <c r="W126" s="85" t="s">
        <v>533</v>
      </c>
      <c r="X126" s="85" t="s">
        <v>533</v>
      </c>
      <c r="Y126" s="85" t="s">
        <v>533</v>
      </c>
    </row>
    <row r="127" spans="11:25" ht="16" thickBot="1">
      <c r="K127" s="84" t="s">
        <v>847</v>
      </c>
      <c r="L127" s="85">
        <v>1100</v>
      </c>
      <c r="M127" s="85">
        <v>900</v>
      </c>
      <c r="N127" s="85">
        <v>1000</v>
      </c>
      <c r="O127" s="85">
        <v>957</v>
      </c>
      <c r="P127" s="85" t="s">
        <v>533</v>
      </c>
      <c r="S127" s="389" t="s">
        <v>848</v>
      </c>
      <c r="T127" s="389"/>
      <c r="U127" s="85" t="s">
        <v>533</v>
      </c>
      <c r="V127" s="85" t="s">
        <v>533</v>
      </c>
      <c r="W127" s="85" t="s">
        <v>533</v>
      </c>
      <c r="X127" s="85" t="s">
        <v>533</v>
      </c>
      <c r="Y127" s="85" t="s">
        <v>533</v>
      </c>
    </row>
    <row r="128" spans="11:25" ht="16" thickBot="1">
      <c r="K128" s="84" t="s">
        <v>849</v>
      </c>
      <c r="L128" s="85" t="s">
        <v>533</v>
      </c>
      <c r="M128" s="85" t="s">
        <v>533</v>
      </c>
      <c r="N128" s="85" t="s">
        <v>533</v>
      </c>
      <c r="O128" s="85" t="s">
        <v>533</v>
      </c>
      <c r="P128" s="85" t="s">
        <v>533</v>
      </c>
      <c r="S128" s="389" t="s">
        <v>850</v>
      </c>
      <c r="T128" s="389"/>
      <c r="U128" s="85" t="s">
        <v>533</v>
      </c>
      <c r="V128" s="85" t="s">
        <v>533</v>
      </c>
      <c r="W128" s="85" t="s">
        <v>533</v>
      </c>
      <c r="X128" s="85" t="s">
        <v>533</v>
      </c>
      <c r="Y128" s="85" t="s">
        <v>533</v>
      </c>
    </row>
    <row r="129" spans="11:25" ht="16" thickBot="1">
      <c r="K129" s="84" t="s">
        <v>851</v>
      </c>
      <c r="L129" s="85" t="s">
        <v>533</v>
      </c>
      <c r="M129" s="85" t="s">
        <v>533</v>
      </c>
      <c r="N129" s="85" t="s">
        <v>533</v>
      </c>
      <c r="O129" s="85" t="s">
        <v>533</v>
      </c>
      <c r="P129" s="85" t="s">
        <v>533</v>
      </c>
      <c r="S129" s="389" t="s">
        <v>852</v>
      </c>
      <c r="T129" s="389"/>
      <c r="U129" s="85" t="s">
        <v>533</v>
      </c>
      <c r="V129" s="85" t="s">
        <v>533</v>
      </c>
      <c r="W129" s="85" t="s">
        <v>533</v>
      </c>
      <c r="X129" s="85" t="s">
        <v>533</v>
      </c>
      <c r="Y129" s="85" t="s">
        <v>533</v>
      </c>
    </row>
    <row r="130" spans="11:25" ht="16" thickBot="1">
      <c r="K130" s="84" t="s">
        <v>853</v>
      </c>
      <c r="L130" s="85" t="s">
        <v>533</v>
      </c>
      <c r="M130" s="85" t="s">
        <v>533</v>
      </c>
      <c r="N130" s="85" t="s">
        <v>533</v>
      </c>
      <c r="O130" s="85" t="s">
        <v>533</v>
      </c>
      <c r="P130" s="85" t="s">
        <v>533</v>
      </c>
      <c r="S130" s="389" t="s">
        <v>854</v>
      </c>
      <c r="T130" s="389"/>
      <c r="U130" s="85">
        <v>2100</v>
      </c>
      <c r="V130" s="85">
        <v>2700</v>
      </c>
      <c r="W130" s="85">
        <v>2100</v>
      </c>
      <c r="X130" s="85">
        <v>2200</v>
      </c>
      <c r="Y130" s="85">
        <v>2600</v>
      </c>
    </row>
    <row r="131" spans="11:25" ht="16" thickBot="1">
      <c r="K131" s="84" t="s">
        <v>855</v>
      </c>
      <c r="L131" s="85" t="s">
        <v>533</v>
      </c>
      <c r="M131" s="85" t="s">
        <v>533</v>
      </c>
      <c r="N131" s="85" t="s">
        <v>533</v>
      </c>
      <c r="O131" s="85" t="s">
        <v>533</v>
      </c>
      <c r="P131" s="85" t="s">
        <v>533</v>
      </c>
      <c r="S131" s="389" t="s">
        <v>856</v>
      </c>
      <c r="T131" s="389"/>
      <c r="U131" s="85" t="s">
        <v>533</v>
      </c>
      <c r="V131" s="85" t="s">
        <v>533</v>
      </c>
      <c r="W131" s="85" t="s">
        <v>533</v>
      </c>
      <c r="X131" s="85" t="s">
        <v>533</v>
      </c>
      <c r="Y131" s="85" t="s">
        <v>533</v>
      </c>
    </row>
    <row r="132" spans="11:25" ht="16" thickBot="1">
      <c r="K132" s="84" t="s">
        <v>857</v>
      </c>
      <c r="L132" s="85" t="s">
        <v>533</v>
      </c>
      <c r="M132" s="85" t="s">
        <v>533</v>
      </c>
      <c r="N132" s="85" t="s">
        <v>533</v>
      </c>
      <c r="O132" s="85" t="s">
        <v>533</v>
      </c>
      <c r="P132" s="85" t="s">
        <v>533</v>
      </c>
      <c r="S132" s="389" t="s">
        <v>858</v>
      </c>
      <c r="T132" s="389"/>
      <c r="U132" s="85" t="s">
        <v>533</v>
      </c>
      <c r="V132" s="85" t="s">
        <v>533</v>
      </c>
      <c r="W132" s="85" t="s">
        <v>533</v>
      </c>
      <c r="X132" s="85" t="s">
        <v>533</v>
      </c>
      <c r="Y132" s="85" t="s">
        <v>533</v>
      </c>
    </row>
    <row r="133" spans="11:25" ht="16" thickBot="1">
      <c r="K133" s="84" t="s">
        <v>859</v>
      </c>
      <c r="L133" s="85" t="s">
        <v>533</v>
      </c>
      <c r="M133" s="85" t="s">
        <v>533</v>
      </c>
      <c r="N133" s="85" t="s">
        <v>533</v>
      </c>
      <c r="O133" s="85" t="s">
        <v>533</v>
      </c>
      <c r="P133" s="85" t="s">
        <v>533</v>
      </c>
      <c r="S133" s="389" t="s">
        <v>860</v>
      </c>
      <c r="T133" s="389"/>
      <c r="U133" s="85" t="s">
        <v>533</v>
      </c>
      <c r="V133" s="85" t="s">
        <v>533</v>
      </c>
      <c r="W133" s="85">
        <v>-300</v>
      </c>
      <c r="X133" s="85" t="s">
        <v>533</v>
      </c>
      <c r="Y133" s="85" t="s">
        <v>533</v>
      </c>
    </row>
    <row r="134" spans="11:25" ht="16" thickBot="1">
      <c r="K134" s="84" t="s">
        <v>861</v>
      </c>
      <c r="L134" s="85" t="s">
        <v>533</v>
      </c>
      <c r="M134" s="85" t="s">
        <v>533</v>
      </c>
      <c r="N134" s="85" t="s">
        <v>533</v>
      </c>
      <c r="O134" s="85" t="s">
        <v>533</v>
      </c>
      <c r="P134" s="85" t="s">
        <v>533</v>
      </c>
      <c r="S134" s="389" t="s">
        <v>862</v>
      </c>
      <c r="T134" s="389"/>
      <c r="U134" s="85">
        <v>14603</v>
      </c>
      <c r="V134" s="85">
        <v>14714</v>
      </c>
      <c r="W134" s="85">
        <v>12159</v>
      </c>
      <c r="X134" s="85">
        <v>11355</v>
      </c>
      <c r="Y134" s="85">
        <v>10775</v>
      </c>
    </row>
    <row r="135" spans="11:25" ht="16" thickBot="1">
      <c r="K135" s="84" t="s">
        <v>863</v>
      </c>
      <c r="L135" s="85" t="s">
        <v>533</v>
      </c>
      <c r="M135" s="85" t="s">
        <v>533</v>
      </c>
      <c r="N135" s="85" t="s">
        <v>533</v>
      </c>
      <c r="O135" s="85" t="s">
        <v>533</v>
      </c>
      <c r="P135" s="85" t="s">
        <v>533</v>
      </c>
      <c r="S135" s="389" t="s">
        <v>864</v>
      </c>
      <c r="T135" s="389"/>
      <c r="U135" s="85">
        <v>44</v>
      </c>
      <c r="V135" s="85">
        <v>41</v>
      </c>
      <c r="W135" s="85">
        <v>40</v>
      </c>
      <c r="X135" s="85">
        <v>41</v>
      </c>
      <c r="Y135" s="85">
        <v>42</v>
      </c>
    </row>
    <row r="136" spans="11:25" ht="16" thickBot="1">
      <c r="K136" s="84" t="s">
        <v>865</v>
      </c>
      <c r="L136" s="85" t="s">
        <v>533</v>
      </c>
      <c r="M136" s="85" t="s">
        <v>533</v>
      </c>
      <c r="N136" s="85" t="s">
        <v>533</v>
      </c>
      <c r="O136" s="85" t="s">
        <v>533</v>
      </c>
      <c r="P136" s="85" t="s">
        <v>533</v>
      </c>
      <c r="S136" s="389" t="s">
        <v>866</v>
      </c>
      <c r="T136" s="389"/>
      <c r="U136" s="85">
        <v>33</v>
      </c>
      <c r="V136" s="85">
        <v>13</v>
      </c>
      <c r="W136" s="85">
        <v>16</v>
      </c>
      <c r="X136" s="85">
        <v>16</v>
      </c>
      <c r="Y136" s="85">
        <v>28</v>
      </c>
    </row>
    <row r="137" spans="11:25" ht="16" thickBot="1">
      <c r="K137" s="84" t="s">
        <v>867</v>
      </c>
      <c r="L137" s="85" t="s">
        <v>533</v>
      </c>
      <c r="M137" s="85" t="s">
        <v>533</v>
      </c>
      <c r="N137" s="85" t="s">
        <v>533</v>
      </c>
      <c r="O137" s="85" t="s">
        <v>533</v>
      </c>
      <c r="P137" s="85" t="s">
        <v>533</v>
      </c>
      <c r="S137" s="389" t="s">
        <v>868</v>
      </c>
      <c r="T137" s="389"/>
      <c r="U137" s="85">
        <v>1</v>
      </c>
      <c r="V137" s="85">
        <v>2</v>
      </c>
      <c r="W137" s="85">
        <v>2</v>
      </c>
      <c r="X137" s="85">
        <v>2</v>
      </c>
      <c r="Y137" s="85">
        <v>3</v>
      </c>
    </row>
    <row r="138" spans="11:25" ht="16" thickBot="1">
      <c r="K138" s="84" t="s">
        <v>869</v>
      </c>
      <c r="L138" s="85" t="s">
        <v>533</v>
      </c>
      <c r="M138" s="85" t="s">
        <v>533</v>
      </c>
      <c r="N138" s="85" t="s">
        <v>533</v>
      </c>
      <c r="O138" s="85" t="s">
        <v>533</v>
      </c>
      <c r="P138" s="85" t="s">
        <v>533</v>
      </c>
      <c r="S138" s="389" t="s">
        <v>870</v>
      </c>
      <c r="T138" s="389"/>
      <c r="U138" s="85">
        <v>2</v>
      </c>
      <c r="V138" s="85">
        <v>1</v>
      </c>
      <c r="W138" s="85">
        <v>1</v>
      </c>
      <c r="X138" s="85">
        <v>1</v>
      </c>
      <c r="Y138" s="85">
        <v>0</v>
      </c>
    </row>
    <row r="139" spans="11:25" ht="16" thickBot="1">
      <c r="K139" s="84" t="s">
        <v>871</v>
      </c>
      <c r="L139" s="85" t="s">
        <v>533</v>
      </c>
      <c r="M139" s="85" t="s">
        <v>533</v>
      </c>
      <c r="N139" s="85" t="s">
        <v>533</v>
      </c>
      <c r="O139" s="85" t="s">
        <v>533</v>
      </c>
      <c r="P139" s="85" t="s">
        <v>533</v>
      </c>
      <c r="S139" s="389" t="s">
        <v>872</v>
      </c>
      <c r="T139" s="389"/>
      <c r="U139" s="85" t="s">
        <v>533</v>
      </c>
      <c r="V139" s="85" t="s">
        <v>533</v>
      </c>
      <c r="W139" s="85" t="s">
        <v>533</v>
      </c>
      <c r="X139" s="85" t="s">
        <v>533</v>
      </c>
      <c r="Y139" s="85" t="s">
        <v>533</v>
      </c>
    </row>
    <row r="140" spans="11:25" ht="16" thickBot="1">
      <c r="K140" s="84" t="s">
        <v>873</v>
      </c>
      <c r="L140" s="85" t="s">
        <v>533</v>
      </c>
      <c r="M140" s="85" t="s">
        <v>533</v>
      </c>
      <c r="N140" s="85" t="s">
        <v>533</v>
      </c>
      <c r="O140" s="85" t="s">
        <v>533</v>
      </c>
      <c r="P140" s="85" t="s">
        <v>533</v>
      </c>
      <c r="S140" s="389" t="s">
        <v>874</v>
      </c>
      <c r="T140" s="389"/>
      <c r="U140" s="85" t="s">
        <v>533</v>
      </c>
      <c r="V140" s="85" t="s">
        <v>533</v>
      </c>
      <c r="W140" s="85" t="s">
        <v>533</v>
      </c>
      <c r="X140" s="85" t="s">
        <v>533</v>
      </c>
      <c r="Y140" s="85" t="s">
        <v>533</v>
      </c>
    </row>
    <row r="141" spans="11:25" ht="16" thickBot="1">
      <c r="K141" s="84" t="s">
        <v>875</v>
      </c>
      <c r="L141" s="85" t="s">
        <v>533</v>
      </c>
      <c r="M141" s="85" t="s">
        <v>533</v>
      </c>
      <c r="N141" s="85" t="s">
        <v>533</v>
      </c>
      <c r="O141" s="85">
        <v>269</v>
      </c>
      <c r="P141" s="85" t="s">
        <v>533</v>
      </c>
      <c r="S141" s="389" t="s">
        <v>876</v>
      </c>
      <c r="T141" s="389"/>
      <c r="U141" s="85" t="s">
        <v>533</v>
      </c>
      <c r="V141" s="85" t="s">
        <v>533</v>
      </c>
      <c r="W141" s="85" t="s">
        <v>533</v>
      </c>
      <c r="X141" s="85" t="s">
        <v>533</v>
      </c>
      <c r="Y141" s="85" t="s">
        <v>533</v>
      </c>
    </row>
    <row r="142" spans="11:25" ht="16" thickBot="1">
      <c r="K142" s="84" t="s">
        <v>877</v>
      </c>
      <c r="L142" s="85">
        <v>1300</v>
      </c>
      <c r="M142" s="85">
        <v>1000</v>
      </c>
      <c r="N142" s="85">
        <v>1100</v>
      </c>
      <c r="O142" s="85">
        <v>716</v>
      </c>
      <c r="P142" s="85" t="s">
        <v>533</v>
      </c>
      <c r="S142" s="389" t="s">
        <v>878</v>
      </c>
      <c r="T142" s="389"/>
      <c r="U142" s="85" t="s">
        <v>533</v>
      </c>
      <c r="V142" s="85" t="s">
        <v>533</v>
      </c>
      <c r="W142" s="85" t="s">
        <v>533</v>
      </c>
      <c r="X142" s="85" t="s">
        <v>533</v>
      </c>
      <c r="Y142" s="85" t="s">
        <v>533</v>
      </c>
    </row>
    <row r="143" spans="11:25" ht="16" thickBot="1">
      <c r="K143" s="84" t="s">
        <v>879</v>
      </c>
      <c r="L143" s="85" t="s">
        <v>533</v>
      </c>
      <c r="M143" s="85" t="s">
        <v>533</v>
      </c>
      <c r="N143" s="85" t="s">
        <v>533</v>
      </c>
      <c r="O143" s="85">
        <v>0</v>
      </c>
      <c r="P143" s="85">
        <v>499</v>
      </c>
      <c r="S143" s="389" t="s">
        <v>880</v>
      </c>
      <c r="T143" s="389"/>
      <c r="U143" s="85" t="s">
        <v>533</v>
      </c>
      <c r="V143" s="85" t="s">
        <v>533</v>
      </c>
      <c r="W143" s="85" t="s">
        <v>533</v>
      </c>
      <c r="X143" s="85" t="s">
        <v>533</v>
      </c>
      <c r="Y143" s="85" t="s">
        <v>533</v>
      </c>
    </row>
    <row r="144" spans="11:25" ht="16" thickBot="1">
      <c r="K144" s="84" t="s">
        <v>881</v>
      </c>
      <c r="L144" s="85" t="s">
        <v>533</v>
      </c>
      <c r="M144" s="85" t="s">
        <v>533</v>
      </c>
      <c r="N144" s="85" t="s">
        <v>533</v>
      </c>
      <c r="O144" s="85" t="s">
        <v>533</v>
      </c>
      <c r="P144" s="85" t="s">
        <v>533</v>
      </c>
      <c r="S144" s="389" t="s">
        <v>882</v>
      </c>
      <c r="T144" s="389"/>
      <c r="U144" s="85" t="s">
        <v>533</v>
      </c>
      <c r="V144" s="85" t="s">
        <v>533</v>
      </c>
      <c r="W144" s="85" t="s">
        <v>533</v>
      </c>
      <c r="X144" s="85" t="s">
        <v>533</v>
      </c>
      <c r="Y144" s="85" t="s">
        <v>533</v>
      </c>
    </row>
    <row r="145" spans="11:25" ht="16" thickBot="1">
      <c r="K145" s="84" t="s">
        <v>883</v>
      </c>
      <c r="L145" s="85" t="s">
        <v>533</v>
      </c>
      <c r="M145" s="85" t="s">
        <v>533</v>
      </c>
      <c r="N145" s="85" t="s">
        <v>533</v>
      </c>
      <c r="O145" s="85">
        <v>1631</v>
      </c>
      <c r="P145" s="85" t="s">
        <v>533</v>
      </c>
      <c r="S145" s="389" t="s">
        <v>884</v>
      </c>
      <c r="T145" s="389"/>
      <c r="U145" s="85" t="s">
        <v>533</v>
      </c>
      <c r="V145" s="85" t="s">
        <v>533</v>
      </c>
      <c r="W145" s="85" t="s">
        <v>533</v>
      </c>
      <c r="X145" s="85" t="s">
        <v>533</v>
      </c>
      <c r="Y145" s="85" t="s">
        <v>533</v>
      </c>
    </row>
    <row r="146" spans="11:25" ht="16" thickBot="1">
      <c r="K146" s="84" t="s">
        <v>885</v>
      </c>
      <c r="L146" s="85" t="s">
        <v>533</v>
      </c>
      <c r="M146" s="85" t="s">
        <v>533</v>
      </c>
      <c r="N146" s="85" t="s">
        <v>533</v>
      </c>
      <c r="O146" s="85" t="s">
        <v>533</v>
      </c>
      <c r="P146" s="85" t="s">
        <v>533</v>
      </c>
      <c r="S146" s="389" t="s">
        <v>886</v>
      </c>
      <c r="T146" s="389"/>
      <c r="U146" s="85" t="s">
        <v>533</v>
      </c>
      <c r="V146" s="85" t="s">
        <v>533</v>
      </c>
      <c r="W146" s="85" t="s">
        <v>533</v>
      </c>
      <c r="X146" s="85" t="s">
        <v>533</v>
      </c>
      <c r="Y146" s="85" t="s">
        <v>533</v>
      </c>
    </row>
    <row r="147" spans="11:25" ht="16" thickBot="1">
      <c r="K147" s="84" t="s">
        <v>887</v>
      </c>
      <c r="L147" s="87" t="s">
        <v>533</v>
      </c>
      <c r="M147" s="87" t="s">
        <v>533</v>
      </c>
      <c r="N147" s="87" t="s">
        <v>533</v>
      </c>
      <c r="O147" s="87" t="s">
        <v>533</v>
      </c>
      <c r="P147" s="87" t="s">
        <v>533</v>
      </c>
      <c r="S147" s="389" t="s">
        <v>888</v>
      </c>
      <c r="T147" s="389"/>
      <c r="U147" s="87" t="s">
        <v>533</v>
      </c>
      <c r="V147" s="87" t="s">
        <v>533</v>
      </c>
      <c r="W147" s="87" t="s">
        <v>533</v>
      </c>
      <c r="X147" s="87" t="s">
        <v>533</v>
      </c>
      <c r="Y147" s="87" t="s">
        <v>533</v>
      </c>
    </row>
    <row r="148" spans="11:25" ht="16" thickBot="1">
      <c r="K148" s="84" t="s">
        <v>889</v>
      </c>
      <c r="L148" s="87" t="s">
        <v>533</v>
      </c>
      <c r="M148" s="87" t="s">
        <v>533</v>
      </c>
      <c r="N148" s="87" t="s">
        <v>533</v>
      </c>
      <c r="O148" s="87" t="s">
        <v>533</v>
      </c>
      <c r="P148" s="87" t="s">
        <v>533</v>
      </c>
      <c r="S148" s="389" t="s">
        <v>890</v>
      </c>
      <c r="T148" s="389"/>
      <c r="U148" s="85" t="s">
        <v>533</v>
      </c>
      <c r="V148" s="85" t="s">
        <v>533</v>
      </c>
      <c r="W148" s="85" t="s">
        <v>533</v>
      </c>
      <c r="X148" s="85" t="s">
        <v>533</v>
      </c>
      <c r="Y148" s="85" t="s">
        <v>533</v>
      </c>
    </row>
    <row r="149" spans="11:25" ht="16" thickBot="1">
      <c r="K149" s="84" t="s">
        <v>891</v>
      </c>
      <c r="L149" s="87" t="s">
        <v>533</v>
      </c>
      <c r="M149" s="87" t="s">
        <v>533</v>
      </c>
      <c r="N149" s="87" t="s">
        <v>533</v>
      </c>
      <c r="O149" s="87" t="s">
        <v>533</v>
      </c>
      <c r="P149" s="87" t="s">
        <v>533</v>
      </c>
      <c r="S149" s="389" t="s">
        <v>892</v>
      </c>
      <c r="T149" s="389"/>
      <c r="U149" s="85" t="s">
        <v>533</v>
      </c>
      <c r="V149" s="85" t="s">
        <v>533</v>
      </c>
      <c r="W149" s="85" t="s">
        <v>533</v>
      </c>
      <c r="X149" s="85" t="s">
        <v>533</v>
      </c>
      <c r="Y149" s="85" t="s">
        <v>533</v>
      </c>
    </row>
    <row r="150" spans="11:25" ht="16" thickBot="1">
      <c r="K150" s="84" t="s">
        <v>893</v>
      </c>
      <c r="L150" s="85" t="s">
        <v>533</v>
      </c>
      <c r="M150" s="85" t="s">
        <v>533</v>
      </c>
      <c r="N150" s="85" t="s">
        <v>533</v>
      </c>
      <c r="O150" s="85" t="s">
        <v>533</v>
      </c>
      <c r="P150" s="85" t="s">
        <v>533</v>
      </c>
      <c r="S150" s="389" t="s">
        <v>894</v>
      </c>
      <c r="T150" s="389"/>
      <c r="U150" s="88" t="s">
        <v>533</v>
      </c>
      <c r="V150" s="88" t="s">
        <v>533</v>
      </c>
      <c r="W150" s="88" t="s">
        <v>533</v>
      </c>
      <c r="X150" s="88" t="s">
        <v>533</v>
      </c>
      <c r="Y150" s="88" t="s">
        <v>533</v>
      </c>
    </row>
    <row r="151" spans="11:25" ht="16" thickBot="1">
      <c r="K151" s="84" t="s">
        <v>895</v>
      </c>
      <c r="L151" s="85" t="s">
        <v>533</v>
      </c>
      <c r="M151" s="85" t="s">
        <v>533</v>
      </c>
      <c r="N151" s="85" t="s">
        <v>533</v>
      </c>
      <c r="O151" s="85" t="s">
        <v>533</v>
      </c>
      <c r="P151" s="85" t="s">
        <v>533</v>
      </c>
      <c r="S151" s="389" t="s">
        <v>896</v>
      </c>
      <c r="T151" s="389"/>
      <c r="U151" s="88" t="s">
        <v>533</v>
      </c>
      <c r="V151" s="88" t="s">
        <v>533</v>
      </c>
      <c r="W151" s="88" t="s">
        <v>533</v>
      </c>
      <c r="X151" s="88" t="s">
        <v>533</v>
      </c>
      <c r="Y151" s="88" t="s">
        <v>533</v>
      </c>
    </row>
    <row r="152" spans="11:25" ht="16" thickBot="1">
      <c r="K152" s="84" t="s">
        <v>897</v>
      </c>
      <c r="L152" s="85" t="s">
        <v>533</v>
      </c>
      <c r="M152" s="85" t="s">
        <v>533</v>
      </c>
      <c r="N152" s="85" t="s">
        <v>533</v>
      </c>
      <c r="O152" s="85" t="s">
        <v>533</v>
      </c>
      <c r="P152" s="85" t="s">
        <v>533</v>
      </c>
      <c r="S152" s="389" t="s">
        <v>898</v>
      </c>
      <c r="T152" s="389"/>
      <c r="U152" s="85" t="s">
        <v>533</v>
      </c>
      <c r="V152" s="85" t="s">
        <v>533</v>
      </c>
      <c r="W152" s="85" t="s">
        <v>533</v>
      </c>
      <c r="X152" s="85" t="s">
        <v>533</v>
      </c>
      <c r="Y152" s="85" t="s">
        <v>533</v>
      </c>
    </row>
    <row r="153" spans="11:25" ht="16" thickBot="1">
      <c r="K153" s="84" t="s">
        <v>899</v>
      </c>
      <c r="L153" s="85" t="s">
        <v>533</v>
      </c>
      <c r="M153" s="85" t="s">
        <v>533</v>
      </c>
      <c r="N153" s="85" t="s">
        <v>533</v>
      </c>
      <c r="O153" s="85" t="s">
        <v>533</v>
      </c>
      <c r="P153" s="85" t="s">
        <v>533</v>
      </c>
      <c r="S153" s="389" t="s">
        <v>900</v>
      </c>
      <c r="T153" s="389"/>
      <c r="U153" s="85" t="s">
        <v>533</v>
      </c>
      <c r="V153" s="85" t="s">
        <v>533</v>
      </c>
      <c r="W153" s="85" t="s">
        <v>533</v>
      </c>
      <c r="X153" s="85" t="s">
        <v>533</v>
      </c>
      <c r="Y153" s="85" t="s">
        <v>533</v>
      </c>
    </row>
    <row r="154" spans="11:25" ht="16" thickBot="1">
      <c r="K154" s="84" t="s">
        <v>901</v>
      </c>
      <c r="L154" s="85" t="s">
        <v>533</v>
      </c>
      <c r="M154" s="85" t="s">
        <v>533</v>
      </c>
      <c r="N154" s="85" t="s">
        <v>533</v>
      </c>
      <c r="O154" s="85" t="s">
        <v>533</v>
      </c>
      <c r="P154" s="85" t="s">
        <v>533</v>
      </c>
      <c r="S154" s="389" t="s">
        <v>902</v>
      </c>
      <c r="T154" s="389"/>
      <c r="U154" s="85" t="s">
        <v>533</v>
      </c>
      <c r="V154" s="85" t="s">
        <v>533</v>
      </c>
      <c r="W154" s="85" t="s">
        <v>533</v>
      </c>
      <c r="X154" s="85" t="s">
        <v>533</v>
      </c>
      <c r="Y154" s="85" t="s">
        <v>533</v>
      </c>
    </row>
    <row r="155" spans="11:25" ht="16" thickBot="1">
      <c r="K155" s="84" t="s">
        <v>903</v>
      </c>
      <c r="L155" s="85" t="s">
        <v>533</v>
      </c>
      <c r="M155" s="85" t="s">
        <v>533</v>
      </c>
      <c r="N155" s="85" t="s">
        <v>533</v>
      </c>
      <c r="O155" s="85" t="s">
        <v>533</v>
      </c>
      <c r="P155" s="85" t="s">
        <v>533</v>
      </c>
      <c r="S155" s="389" t="s">
        <v>904</v>
      </c>
      <c r="T155" s="389"/>
      <c r="U155" s="85">
        <v>1500</v>
      </c>
      <c r="V155" s="85" t="s">
        <v>533</v>
      </c>
      <c r="W155" s="85" t="s">
        <v>533</v>
      </c>
      <c r="X155" s="85" t="s">
        <v>533</v>
      </c>
      <c r="Y155" s="85" t="s">
        <v>533</v>
      </c>
    </row>
    <row r="156" spans="11:25" ht="16" thickBot="1">
      <c r="K156" s="84" t="s">
        <v>905</v>
      </c>
      <c r="L156" s="85" t="s">
        <v>533</v>
      </c>
      <c r="M156" s="85" t="s">
        <v>533</v>
      </c>
      <c r="N156" s="85" t="s">
        <v>533</v>
      </c>
      <c r="O156" s="85" t="s">
        <v>533</v>
      </c>
      <c r="P156" s="85" t="s">
        <v>533</v>
      </c>
      <c r="S156" s="389" t="s">
        <v>906</v>
      </c>
      <c r="T156" s="389"/>
      <c r="U156" s="85" t="s">
        <v>533</v>
      </c>
      <c r="V156" s="85" t="s">
        <v>533</v>
      </c>
      <c r="W156" s="85" t="s">
        <v>533</v>
      </c>
      <c r="X156" s="85" t="s">
        <v>533</v>
      </c>
      <c r="Y156" s="85" t="s">
        <v>533</v>
      </c>
    </row>
    <row r="157" spans="11:25" ht="16" thickBot="1">
      <c r="K157" s="84" t="s">
        <v>907</v>
      </c>
      <c r="L157" s="87" t="s">
        <v>533</v>
      </c>
      <c r="M157" s="87" t="s">
        <v>533</v>
      </c>
      <c r="N157" s="87" t="s">
        <v>533</v>
      </c>
      <c r="O157" s="87" t="s">
        <v>533</v>
      </c>
      <c r="P157" s="87" t="s">
        <v>533</v>
      </c>
      <c r="S157" s="389" t="s">
        <v>908</v>
      </c>
      <c r="T157" s="389"/>
      <c r="U157" s="85" t="s">
        <v>533</v>
      </c>
      <c r="V157" s="85" t="s">
        <v>533</v>
      </c>
      <c r="W157" s="85" t="s">
        <v>533</v>
      </c>
      <c r="X157" s="85" t="s">
        <v>533</v>
      </c>
      <c r="Y157" s="85" t="s">
        <v>533</v>
      </c>
    </row>
    <row r="158" spans="11:25" ht="16" thickBot="1">
      <c r="K158" s="84" t="s">
        <v>909</v>
      </c>
      <c r="L158" s="87" t="s">
        <v>533</v>
      </c>
      <c r="M158" s="87" t="s">
        <v>533</v>
      </c>
      <c r="N158" s="87" t="s">
        <v>533</v>
      </c>
      <c r="O158" s="87" t="s">
        <v>533</v>
      </c>
      <c r="P158" s="87" t="s">
        <v>533</v>
      </c>
      <c r="S158" s="389" t="s">
        <v>910</v>
      </c>
      <c r="T158" s="389"/>
      <c r="U158" s="85" t="s">
        <v>533</v>
      </c>
      <c r="V158" s="85" t="s">
        <v>533</v>
      </c>
      <c r="W158" s="85" t="s">
        <v>533</v>
      </c>
      <c r="X158" s="85" t="s">
        <v>533</v>
      </c>
      <c r="Y158" s="85" t="s">
        <v>533</v>
      </c>
    </row>
    <row r="159" spans="11:25" ht="16" thickBot="1">
      <c r="K159" s="84" t="s">
        <v>911</v>
      </c>
      <c r="L159" s="87" t="s">
        <v>533</v>
      </c>
      <c r="M159" s="87" t="s">
        <v>533</v>
      </c>
      <c r="N159" s="87" t="s">
        <v>533</v>
      </c>
      <c r="O159" s="87" t="s">
        <v>533</v>
      </c>
      <c r="P159" s="87" t="s">
        <v>533</v>
      </c>
      <c r="S159" s="389" t="s">
        <v>912</v>
      </c>
      <c r="T159" s="389"/>
      <c r="U159" s="85" t="s">
        <v>533</v>
      </c>
      <c r="V159" s="85" t="s">
        <v>533</v>
      </c>
      <c r="W159" s="85" t="s">
        <v>533</v>
      </c>
      <c r="X159" s="85" t="s">
        <v>533</v>
      </c>
      <c r="Y159" s="85" t="s">
        <v>533</v>
      </c>
    </row>
    <row r="160" spans="11:25" ht="16" thickBot="1">
      <c r="K160" s="84" t="s">
        <v>913</v>
      </c>
      <c r="L160" s="87" t="s">
        <v>533</v>
      </c>
      <c r="M160" s="87" t="s">
        <v>533</v>
      </c>
      <c r="N160" s="87" t="s">
        <v>533</v>
      </c>
      <c r="O160" s="87" t="s">
        <v>533</v>
      </c>
      <c r="P160" s="87" t="s">
        <v>533</v>
      </c>
      <c r="S160" s="389" t="s">
        <v>914</v>
      </c>
      <c r="T160" s="389"/>
      <c r="U160" s="85" t="s">
        <v>533</v>
      </c>
      <c r="V160" s="85" t="s">
        <v>533</v>
      </c>
      <c r="W160" s="85" t="s">
        <v>533</v>
      </c>
      <c r="X160" s="85" t="s">
        <v>533</v>
      </c>
      <c r="Y160" s="85" t="s">
        <v>533</v>
      </c>
    </row>
    <row r="161" spans="11:25" ht="16" thickBot="1">
      <c r="K161" s="84" t="s">
        <v>915</v>
      </c>
      <c r="L161" s="87" t="s">
        <v>533</v>
      </c>
      <c r="M161" s="87" t="s">
        <v>533</v>
      </c>
      <c r="N161" s="87" t="s">
        <v>533</v>
      </c>
      <c r="O161" s="87" t="s">
        <v>533</v>
      </c>
      <c r="P161" s="87" t="s">
        <v>533</v>
      </c>
      <c r="S161" s="389" t="s">
        <v>916</v>
      </c>
      <c r="T161" s="389"/>
      <c r="U161" s="85" t="s">
        <v>533</v>
      </c>
      <c r="V161" s="85" t="s">
        <v>533</v>
      </c>
      <c r="W161" s="85" t="s">
        <v>533</v>
      </c>
      <c r="X161" s="85" t="s">
        <v>533</v>
      </c>
      <c r="Y161" s="85" t="s">
        <v>533</v>
      </c>
    </row>
    <row r="162" spans="11:25" ht="16" thickBot="1">
      <c r="K162" s="84" t="s">
        <v>917</v>
      </c>
      <c r="L162" s="85" t="s">
        <v>533</v>
      </c>
      <c r="M162" s="85" t="s">
        <v>533</v>
      </c>
      <c r="N162" s="85" t="s">
        <v>533</v>
      </c>
      <c r="O162" s="85" t="s">
        <v>533</v>
      </c>
      <c r="P162" s="85" t="s">
        <v>533</v>
      </c>
      <c r="S162" s="389" t="s">
        <v>918</v>
      </c>
      <c r="T162" s="389"/>
      <c r="U162" s="85">
        <v>28643</v>
      </c>
      <c r="V162" s="85">
        <v>26447</v>
      </c>
      <c r="W162" s="85">
        <v>20915</v>
      </c>
      <c r="X162" s="85">
        <v>23899</v>
      </c>
      <c r="Y162" s="85">
        <v>22419</v>
      </c>
    </row>
    <row r="163" spans="11:25" ht="16" thickBot="1">
      <c r="K163" s="84" t="s">
        <v>919</v>
      </c>
      <c r="L163" s="85" t="s">
        <v>533</v>
      </c>
      <c r="M163" s="85" t="s">
        <v>533</v>
      </c>
      <c r="N163" s="85" t="s">
        <v>533</v>
      </c>
      <c r="O163" s="85" t="s">
        <v>533</v>
      </c>
      <c r="P163" s="85" t="s">
        <v>533</v>
      </c>
      <c r="S163" s="390" t="s">
        <v>920</v>
      </c>
      <c r="T163" s="390"/>
      <c r="U163" s="85">
        <v>35643</v>
      </c>
      <c r="V163" s="85">
        <v>33847</v>
      </c>
      <c r="W163" s="85">
        <v>28215</v>
      </c>
      <c r="X163" s="85">
        <v>30908</v>
      </c>
      <c r="Y163" s="85">
        <v>29348</v>
      </c>
    </row>
    <row r="164" spans="11:25" ht="16" thickBot="1">
      <c r="K164" s="84" t="s">
        <v>921</v>
      </c>
      <c r="L164" s="85" t="s">
        <v>533</v>
      </c>
      <c r="M164" s="85" t="s">
        <v>533</v>
      </c>
      <c r="N164" s="85" t="s">
        <v>533</v>
      </c>
      <c r="O164" s="85" t="s">
        <v>533</v>
      </c>
      <c r="P164" s="85" t="s">
        <v>533</v>
      </c>
      <c r="S164" s="392" t="s">
        <v>922</v>
      </c>
      <c r="T164" s="392"/>
      <c r="U164" s="79"/>
      <c r="V164" s="79"/>
      <c r="W164" s="79"/>
      <c r="X164" s="79"/>
      <c r="Y164" s="79"/>
    </row>
    <row r="165" spans="11:25" ht="16" thickBot="1">
      <c r="K165" s="84" t="s">
        <v>923</v>
      </c>
      <c r="L165" s="85" t="s">
        <v>533</v>
      </c>
      <c r="M165" s="85" t="s">
        <v>533</v>
      </c>
      <c r="N165" s="85" t="s">
        <v>533</v>
      </c>
      <c r="O165" s="85" t="s">
        <v>533</v>
      </c>
      <c r="P165" s="85" t="s">
        <v>533</v>
      </c>
      <c r="S165" s="391" t="s">
        <v>924</v>
      </c>
      <c r="T165" s="391"/>
      <c r="U165" s="81">
        <v>5447</v>
      </c>
      <c r="V165" s="81">
        <v>3977</v>
      </c>
      <c r="W165" s="81">
        <v>2924</v>
      </c>
      <c r="X165" s="81">
        <v>4685</v>
      </c>
      <c r="Y165" s="81">
        <v>3718</v>
      </c>
    </row>
    <row r="166" spans="11:25" ht="16" thickBot="1">
      <c r="K166" s="84" t="s">
        <v>925</v>
      </c>
      <c r="L166" s="85" t="s">
        <v>533</v>
      </c>
      <c r="M166" s="85" t="s">
        <v>533</v>
      </c>
      <c r="N166" s="85" t="s">
        <v>533</v>
      </c>
      <c r="O166" s="85" t="s">
        <v>533</v>
      </c>
      <c r="P166" s="85" t="s">
        <v>533</v>
      </c>
      <c r="S166" s="388" t="s">
        <v>926</v>
      </c>
      <c r="T166" s="388"/>
      <c r="U166" s="83">
        <v>2378</v>
      </c>
      <c r="V166" s="83">
        <v>1525</v>
      </c>
      <c r="W166" s="83">
        <v>1026</v>
      </c>
      <c r="X166" s="83">
        <v>1941</v>
      </c>
      <c r="Y166" s="83">
        <v>1081</v>
      </c>
    </row>
    <row r="167" spans="11:25" ht="16" thickBot="1">
      <c r="K167" s="84" t="s">
        <v>927</v>
      </c>
      <c r="L167" s="85" t="s">
        <v>533</v>
      </c>
      <c r="M167" s="85" t="s">
        <v>533</v>
      </c>
      <c r="N167" s="85" t="s">
        <v>533</v>
      </c>
      <c r="O167" s="85" t="s">
        <v>533</v>
      </c>
      <c r="P167" s="85" t="s">
        <v>533</v>
      </c>
      <c r="S167" s="388" t="s">
        <v>928</v>
      </c>
      <c r="T167" s="388"/>
      <c r="U167" s="83">
        <v>3069</v>
      </c>
      <c r="V167" s="83">
        <v>2452</v>
      </c>
      <c r="W167" s="83">
        <v>1898</v>
      </c>
      <c r="X167" s="83">
        <v>2744</v>
      </c>
      <c r="Y167" s="83">
        <v>2637</v>
      </c>
    </row>
    <row r="168" spans="11:25" ht="16" thickBot="1">
      <c r="K168" s="84" t="s">
        <v>929</v>
      </c>
      <c r="L168" s="85" t="s">
        <v>533</v>
      </c>
      <c r="M168" s="85" t="s">
        <v>533</v>
      </c>
      <c r="N168" s="85" t="s">
        <v>533</v>
      </c>
      <c r="O168" s="85" t="s">
        <v>533</v>
      </c>
      <c r="P168" s="85" t="s">
        <v>533</v>
      </c>
      <c r="S168" s="391" t="s">
        <v>930</v>
      </c>
      <c r="T168" s="391"/>
      <c r="U168" s="81">
        <v>-1663</v>
      </c>
      <c r="V168" s="81">
        <v>-2079</v>
      </c>
      <c r="W168" s="81">
        <v>-841</v>
      </c>
      <c r="X168" s="81">
        <v>-2476</v>
      </c>
      <c r="Y168" s="81">
        <v>-1016</v>
      </c>
    </row>
    <row r="169" spans="11:25" ht="16" thickBot="1">
      <c r="K169" s="84" t="s">
        <v>931</v>
      </c>
      <c r="L169" s="85">
        <v>42811</v>
      </c>
      <c r="M169" s="85">
        <v>50592</v>
      </c>
      <c r="N169" s="85">
        <v>41893</v>
      </c>
      <c r="O169" s="85">
        <v>36254</v>
      </c>
      <c r="P169" s="85">
        <v>37434</v>
      </c>
      <c r="S169" s="388" t="s">
        <v>932</v>
      </c>
      <c r="T169" s="388"/>
      <c r="U169" s="83">
        <v>-2081</v>
      </c>
      <c r="V169" s="83">
        <v>583</v>
      </c>
      <c r="W169" s="83">
        <v>224</v>
      </c>
      <c r="X169" s="83">
        <v>-814</v>
      </c>
      <c r="Y169" s="83">
        <v>-148</v>
      </c>
    </row>
    <row r="170" spans="11:25" ht="16" thickBot="1">
      <c r="K170" s="84" t="s">
        <v>933</v>
      </c>
      <c r="L170" s="85" t="s">
        <v>533</v>
      </c>
      <c r="M170" s="85" t="s">
        <v>533</v>
      </c>
      <c r="N170" s="85" t="s">
        <v>533</v>
      </c>
      <c r="O170" s="85" t="s">
        <v>533</v>
      </c>
      <c r="P170" s="85" t="s">
        <v>533</v>
      </c>
      <c r="S170" s="388" t="s">
        <v>934</v>
      </c>
      <c r="T170" s="388"/>
      <c r="U170" s="83">
        <v>418</v>
      </c>
      <c r="V170" s="83">
        <v>-2662</v>
      </c>
      <c r="W170" s="83">
        <v>-1065</v>
      </c>
      <c r="X170" s="83">
        <v>-1662</v>
      </c>
      <c r="Y170" s="83">
        <v>-868</v>
      </c>
    </row>
    <row r="171" spans="11:25" ht="16" thickBot="1">
      <c r="K171" s="84" t="s">
        <v>935</v>
      </c>
      <c r="L171" s="85">
        <v>10000</v>
      </c>
      <c r="M171" s="85">
        <v>10000</v>
      </c>
      <c r="N171" s="85">
        <v>10000</v>
      </c>
      <c r="O171" s="85" t="s">
        <v>533</v>
      </c>
      <c r="P171" s="85" t="s">
        <v>533</v>
      </c>
      <c r="S171" s="389" t="s">
        <v>936</v>
      </c>
      <c r="T171" s="389"/>
      <c r="U171" s="85">
        <v>3784</v>
      </c>
      <c r="V171" s="85">
        <v>1898</v>
      </c>
      <c r="W171" s="85">
        <v>2083</v>
      </c>
      <c r="X171" s="85">
        <v>2209</v>
      </c>
      <c r="Y171" s="85">
        <v>2702</v>
      </c>
    </row>
    <row r="172" spans="11:25" ht="16" thickBot="1">
      <c r="K172" s="84" t="s">
        <v>937</v>
      </c>
      <c r="L172" s="85" t="s">
        <v>533</v>
      </c>
      <c r="M172" s="85" t="s">
        <v>533</v>
      </c>
      <c r="N172" s="85" t="s">
        <v>533</v>
      </c>
      <c r="O172" s="85" t="s">
        <v>533</v>
      </c>
      <c r="P172" s="85" t="s">
        <v>533</v>
      </c>
      <c r="S172" s="389" t="s">
        <v>938</v>
      </c>
      <c r="T172" s="389"/>
      <c r="U172" s="85" t="s">
        <v>533</v>
      </c>
      <c r="V172" s="85" t="s">
        <v>533</v>
      </c>
      <c r="W172" s="85" t="s">
        <v>533</v>
      </c>
      <c r="X172" s="85" t="s">
        <v>533</v>
      </c>
      <c r="Y172" s="85" t="s">
        <v>533</v>
      </c>
    </row>
    <row r="173" spans="11:25" ht="16" thickBot="1">
      <c r="K173" s="84" t="s">
        <v>939</v>
      </c>
      <c r="L173" s="85" t="s">
        <v>533</v>
      </c>
      <c r="M173" s="85" t="s">
        <v>533</v>
      </c>
      <c r="N173" s="85" t="s">
        <v>533</v>
      </c>
      <c r="O173" s="85" t="s">
        <v>533</v>
      </c>
      <c r="P173" s="85" t="s">
        <v>533</v>
      </c>
      <c r="S173" s="391" t="s">
        <v>940</v>
      </c>
      <c r="T173" s="391"/>
      <c r="U173" s="81">
        <v>-47</v>
      </c>
      <c r="V173" s="81">
        <v>623</v>
      </c>
      <c r="W173" s="81">
        <v>790</v>
      </c>
      <c r="X173" s="81">
        <v>593</v>
      </c>
      <c r="Y173" s="81">
        <v>923</v>
      </c>
    </row>
    <row r="174" spans="11:25" ht="16" thickBot="1">
      <c r="K174" s="84" t="s">
        <v>941</v>
      </c>
      <c r="L174" s="85" t="s">
        <v>533</v>
      </c>
      <c r="M174" s="85" t="s">
        <v>533</v>
      </c>
      <c r="N174" s="85" t="s">
        <v>533</v>
      </c>
      <c r="O174" s="85" t="s">
        <v>533</v>
      </c>
      <c r="P174" s="85" t="s">
        <v>533</v>
      </c>
      <c r="S174" s="388" t="s">
        <v>942</v>
      </c>
      <c r="T174" s="388"/>
      <c r="U174" s="83">
        <v>911</v>
      </c>
      <c r="V174" s="83">
        <v>770</v>
      </c>
      <c r="W174" s="83">
        <v>955</v>
      </c>
      <c r="X174" s="83">
        <v>1096</v>
      </c>
      <c r="Y174" s="83">
        <v>996</v>
      </c>
    </row>
    <row r="175" spans="11:25" ht="16" thickBot="1">
      <c r="K175" s="84" t="s">
        <v>943</v>
      </c>
      <c r="L175" s="85" t="s">
        <v>533</v>
      </c>
      <c r="M175" s="85" t="s">
        <v>533</v>
      </c>
      <c r="N175" s="85" t="s">
        <v>533</v>
      </c>
      <c r="O175" s="85" t="s">
        <v>533</v>
      </c>
      <c r="P175" s="85" t="s">
        <v>533</v>
      </c>
      <c r="S175" s="388" t="s">
        <v>944</v>
      </c>
      <c r="T175" s="388"/>
      <c r="U175" s="83">
        <v>1327</v>
      </c>
      <c r="V175" s="83">
        <v>1421</v>
      </c>
      <c r="W175" s="83">
        <v>1380</v>
      </c>
      <c r="X175" s="83">
        <v>1163</v>
      </c>
      <c r="Y175" s="83">
        <v>1283</v>
      </c>
    </row>
    <row r="176" spans="11:25" ht="16" thickBot="1">
      <c r="K176" s="84" t="s">
        <v>945</v>
      </c>
      <c r="L176" s="85" t="s">
        <v>533</v>
      </c>
      <c r="M176" s="85" t="s">
        <v>533</v>
      </c>
      <c r="N176" s="85" t="s">
        <v>533</v>
      </c>
      <c r="O176" s="85" t="s">
        <v>533</v>
      </c>
      <c r="P176" s="85" t="s">
        <v>533</v>
      </c>
      <c r="S176" s="388" t="s">
        <v>946</v>
      </c>
      <c r="T176" s="388"/>
      <c r="U176" s="83">
        <v>-184</v>
      </c>
      <c r="V176" s="83">
        <v>-181</v>
      </c>
      <c r="W176" s="83">
        <v>2</v>
      </c>
      <c r="X176" s="83">
        <v>4</v>
      </c>
      <c r="Y176" s="83">
        <v>3</v>
      </c>
    </row>
    <row r="177" spans="11:25" ht="16" thickBot="1">
      <c r="K177" s="84" t="s">
        <v>947</v>
      </c>
      <c r="L177" s="85">
        <v>16140</v>
      </c>
      <c r="M177" s="85">
        <v>2143</v>
      </c>
      <c r="N177" s="85">
        <v>10081</v>
      </c>
      <c r="O177" s="85">
        <v>8409</v>
      </c>
      <c r="P177" s="85">
        <v>10294</v>
      </c>
      <c r="S177" s="388" t="s">
        <v>948</v>
      </c>
      <c r="T177" s="388"/>
      <c r="U177" s="83">
        <v>-2757</v>
      </c>
      <c r="V177" s="83">
        <v>-2645</v>
      </c>
      <c r="W177" s="83">
        <v>-2461</v>
      </c>
      <c r="X177" s="83">
        <v>-2322</v>
      </c>
      <c r="Y177" s="83">
        <v>-2212</v>
      </c>
    </row>
    <row r="178" spans="11:25" ht="16" thickBot="1">
      <c r="K178" s="84" t="s">
        <v>949</v>
      </c>
      <c r="L178" s="85">
        <v>-16752</v>
      </c>
      <c r="M178" s="85">
        <v>-7615</v>
      </c>
      <c r="N178" s="85">
        <v>-26517</v>
      </c>
      <c r="O178" s="85">
        <v>-21811</v>
      </c>
      <c r="P178" s="85">
        <v>-18312</v>
      </c>
      <c r="S178" s="388" t="s">
        <v>950</v>
      </c>
      <c r="T178" s="388"/>
      <c r="U178" s="83">
        <v>655</v>
      </c>
      <c r="V178" s="83">
        <v>1257</v>
      </c>
      <c r="W178" s="83">
        <v>891</v>
      </c>
      <c r="X178" s="83">
        <v>579</v>
      </c>
      <c r="Y178" s="83">
        <v>852</v>
      </c>
    </row>
    <row r="179" spans="11:25" ht="16" thickBot="1">
      <c r="K179" s="84" t="s">
        <v>951</v>
      </c>
      <c r="L179" s="85" t="s">
        <v>533</v>
      </c>
      <c r="M179" s="85" t="s">
        <v>533</v>
      </c>
      <c r="N179" s="85" t="s">
        <v>533</v>
      </c>
      <c r="O179" s="85" t="s">
        <v>533</v>
      </c>
      <c r="P179" s="85" t="s">
        <v>533</v>
      </c>
      <c r="S179" s="388" t="s">
        <v>952</v>
      </c>
      <c r="T179" s="388"/>
      <c r="U179" s="83">
        <v>1</v>
      </c>
      <c r="V179" s="83">
        <v>1</v>
      </c>
      <c r="W179" s="83">
        <v>23</v>
      </c>
      <c r="X179" s="83">
        <v>73</v>
      </c>
      <c r="Y179" s="83">
        <v>1</v>
      </c>
    </row>
    <row r="180" spans="11:25" ht="16" thickBot="1">
      <c r="K180" s="84" t="s">
        <v>953</v>
      </c>
      <c r="L180" s="85" t="s">
        <v>533</v>
      </c>
      <c r="M180" s="85" t="s">
        <v>533</v>
      </c>
      <c r="N180" s="85" t="s">
        <v>533</v>
      </c>
      <c r="O180" s="85" t="s">
        <v>533</v>
      </c>
      <c r="P180" s="85" t="s">
        <v>533</v>
      </c>
      <c r="S180" s="389" t="s">
        <v>954</v>
      </c>
      <c r="T180" s="389"/>
      <c r="U180" s="85" t="s">
        <v>533</v>
      </c>
      <c r="V180" s="85" t="s">
        <v>533</v>
      </c>
      <c r="W180" s="85" t="s">
        <v>533</v>
      </c>
      <c r="X180" s="85" t="s">
        <v>533</v>
      </c>
      <c r="Y180" s="85" t="s">
        <v>533</v>
      </c>
    </row>
    <row r="181" spans="11:25" ht="16" thickBot="1">
      <c r="K181" s="84" t="s">
        <v>955</v>
      </c>
      <c r="L181" s="85" t="s">
        <v>533</v>
      </c>
      <c r="M181" s="85" t="s">
        <v>533</v>
      </c>
      <c r="N181" s="85" t="s">
        <v>533</v>
      </c>
      <c r="O181" s="85" t="s">
        <v>533</v>
      </c>
      <c r="P181" s="85" t="s">
        <v>533</v>
      </c>
      <c r="S181" s="391" t="s">
        <v>956</v>
      </c>
      <c r="T181" s="391"/>
      <c r="U181" s="81">
        <v>533</v>
      </c>
      <c r="V181" s="81">
        <v>503</v>
      </c>
      <c r="W181" s="81">
        <v>524</v>
      </c>
      <c r="X181" s="81">
        <v>551</v>
      </c>
      <c r="Y181" s="81">
        <v>502</v>
      </c>
    </row>
    <row r="182" spans="11:25" ht="16" thickBot="1">
      <c r="K182" s="84" t="s">
        <v>957</v>
      </c>
      <c r="L182" s="85" t="s">
        <v>533</v>
      </c>
      <c r="M182" s="85" t="s">
        <v>533</v>
      </c>
      <c r="N182" s="85" t="s">
        <v>533</v>
      </c>
      <c r="O182" s="85" t="s">
        <v>533</v>
      </c>
      <c r="P182" s="85" t="s">
        <v>533</v>
      </c>
      <c r="S182" s="388" t="s">
        <v>958</v>
      </c>
      <c r="T182" s="388"/>
      <c r="U182" s="83">
        <v>105</v>
      </c>
      <c r="V182" s="83">
        <v>81</v>
      </c>
      <c r="W182" s="83">
        <v>133</v>
      </c>
      <c r="X182" s="83">
        <v>185</v>
      </c>
      <c r="Y182" s="83">
        <v>148</v>
      </c>
    </row>
    <row r="183" spans="11:25" ht="16" thickBot="1">
      <c r="K183" s="84" t="s">
        <v>959</v>
      </c>
      <c r="L183" s="85" t="s">
        <v>533</v>
      </c>
      <c r="M183" s="85" t="s">
        <v>533</v>
      </c>
      <c r="N183" s="85" t="s">
        <v>533</v>
      </c>
      <c r="O183" s="85" t="s">
        <v>533</v>
      </c>
      <c r="P183" s="85" t="s">
        <v>533</v>
      </c>
      <c r="S183" s="388" t="s">
        <v>960</v>
      </c>
      <c r="T183" s="388"/>
      <c r="U183" s="83">
        <v>320</v>
      </c>
      <c r="V183" s="83">
        <v>309</v>
      </c>
      <c r="W183" s="83">
        <v>287</v>
      </c>
      <c r="X183" s="83">
        <v>274</v>
      </c>
      <c r="Y183" s="83">
        <v>269</v>
      </c>
    </row>
    <row r="184" spans="11:25" ht="16" thickBot="1">
      <c r="K184" s="84" t="s">
        <v>961</v>
      </c>
      <c r="L184" s="88" t="s">
        <v>533</v>
      </c>
      <c r="M184" s="88" t="s">
        <v>533</v>
      </c>
      <c r="N184" s="88" t="s">
        <v>533</v>
      </c>
      <c r="O184" s="88" t="s">
        <v>533</v>
      </c>
      <c r="P184" s="88" t="s">
        <v>533</v>
      </c>
      <c r="S184" s="388" t="s">
        <v>962</v>
      </c>
      <c r="T184" s="388"/>
      <c r="U184" s="83">
        <v>-5</v>
      </c>
      <c r="V184" s="83">
        <v>-31</v>
      </c>
      <c r="W184" s="83">
        <v>-31</v>
      </c>
      <c r="X184" s="83">
        <v>-31</v>
      </c>
      <c r="Y184" s="83">
        <v>-31</v>
      </c>
    </row>
    <row r="185" spans="11:25" ht="16" thickBot="1">
      <c r="K185" s="84" t="s">
        <v>963</v>
      </c>
      <c r="L185" s="87" t="s">
        <v>533</v>
      </c>
      <c r="M185" s="87" t="s">
        <v>533</v>
      </c>
      <c r="N185" s="87" t="s">
        <v>533</v>
      </c>
      <c r="O185" s="87" t="s">
        <v>533</v>
      </c>
      <c r="P185" s="87" t="s">
        <v>533</v>
      </c>
      <c r="S185" s="388" t="s">
        <v>964</v>
      </c>
      <c r="T185" s="388"/>
      <c r="U185" s="83">
        <v>-8</v>
      </c>
      <c r="V185" s="83">
        <v>-7</v>
      </c>
      <c r="W185" s="83">
        <v>-7</v>
      </c>
      <c r="X185" s="83">
        <v>-6</v>
      </c>
      <c r="Y185" s="83">
        <v>-7</v>
      </c>
    </row>
    <row r="186" spans="11:25" ht="16" thickBot="1">
      <c r="K186" s="84" t="s">
        <v>965</v>
      </c>
      <c r="L186" s="87" t="s">
        <v>533</v>
      </c>
      <c r="M186" s="87" t="s">
        <v>533</v>
      </c>
      <c r="N186" s="87" t="s">
        <v>533</v>
      </c>
      <c r="O186" s="87" t="s">
        <v>533</v>
      </c>
      <c r="P186" s="87" t="s">
        <v>533</v>
      </c>
      <c r="S186" s="388" t="s">
        <v>966</v>
      </c>
      <c r="T186" s="388"/>
      <c r="U186" s="83">
        <v>121</v>
      </c>
      <c r="V186" s="83">
        <v>151</v>
      </c>
      <c r="W186" s="83">
        <v>142</v>
      </c>
      <c r="X186" s="83">
        <v>129</v>
      </c>
      <c r="Y186" s="83">
        <v>123</v>
      </c>
    </row>
    <row r="187" spans="11:25" ht="16" thickBot="1">
      <c r="K187" s="84" t="s">
        <v>967</v>
      </c>
      <c r="L187" s="85" t="s">
        <v>533</v>
      </c>
      <c r="M187" s="85" t="s">
        <v>533</v>
      </c>
      <c r="N187" s="85" t="s">
        <v>533</v>
      </c>
      <c r="O187" s="85" t="s">
        <v>533</v>
      </c>
      <c r="P187" s="85" t="s">
        <v>533</v>
      </c>
      <c r="S187" s="388" t="s">
        <v>968</v>
      </c>
      <c r="T187" s="388"/>
      <c r="U187" s="83">
        <v>0</v>
      </c>
      <c r="V187" s="83">
        <v>0</v>
      </c>
      <c r="W187" s="83" t="s">
        <v>533</v>
      </c>
      <c r="X187" s="83" t="s">
        <v>533</v>
      </c>
      <c r="Y187" s="83" t="s">
        <v>533</v>
      </c>
    </row>
    <row r="188" spans="11:25" ht="16" thickBot="1">
      <c r="K188" s="84" t="s">
        <v>969</v>
      </c>
      <c r="L188" s="85" t="s">
        <v>533</v>
      </c>
      <c r="M188" s="85" t="s">
        <v>533</v>
      </c>
      <c r="N188" s="85" t="s">
        <v>533</v>
      </c>
      <c r="O188" s="85" t="s">
        <v>533</v>
      </c>
      <c r="P188" s="85" t="s">
        <v>533</v>
      </c>
      <c r="S188" s="391" t="s">
        <v>970</v>
      </c>
      <c r="T188" s="391"/>
      <c r="U188" s="81">
        <v>1031</v>
      </c>
      <c r="V188" s="81">
        <v>2351</v>
      </c>
      <c r="W188" s="81">
        <v>2427</v>
      </c>
      <c r="X188" s="81">
        <v>2287</v>
      </c>
      <c r="Y188" s="81">
        <v>1425</v>
      </c>
    </row>
    <row r="189" spans="11:25" ht="16" thickBot="1">
      <c r="K189" s="84" t="s">
        <v>971</v>
      </c>
      <c r="L189" s="85" t="s">
        <v>533</v>
      </c>
      <c r="M189" s="85" t="s">
        <v>533</v>
      </c>
      <c r="N189" s="85" t="s">
        <v>533</v>
      </c>
      <c r="O189" s="85" t="s">
        <v>533</v>
      </c>
      <c r="P189" s="85" t="s">
        <v>533</v>
      </c>
      <c r="S189" s="388" t="s">
        <v>972</v>
      </c>
      <c r="T189" s="388"/>
      <c r="U189" s="83">
        <v>394</v>
      </c>
      <c r="V189" s="83">
        <v>358</v>
      </c>
      <c r="W189" s="83">
        <v>684</v>
      </c>
      <c r="X189" s="83">
        <v>724</v>
      </c>
      <c r="Y189" s="83" t="s">
        <v>533</v>
      </c>
    </row>
    <row r="190" spans="11:25" ht="16" thickBot="1">
      <c r="K190" s="84" t="s">
        <v>916</v>
      </c>
      <c r="L190" s="85" t="s">
        <v>533</v>
      </c>
      <c r="M190" s="85" t="s">
        <v>533</v>
      </c>
      <c r="N190" s="85" t="s">
        <v>533</v>
      </c>
      <c r="O190" s="85" t="s">
        <v>533</v>
      </c>
      <c r="P190" s="85" t="s">
        <v>533</v>
      </c>
      <c r="S190" s="388" t="s">
        <v>973</v>
      </c>
      <c r="T190" s="388"/>
      <c r="U190" s="83">
        <v>151</v>
      </c>
      <c r="V190" s="83">
        <v>867</v>
      </c>
      <c r="W190" s="83">
        <v>429</v>
      </c>
      <c r="X190" s="83">
        <v>419</v>
      </c>
      <c r="Y190" s="83" t="s">
        <v>533</v>
      </c>
    </row>
    <row r="191" spans="11:25" ht="16" thickBot="1">
      <c r="K191" s="79" t="s">
        <v>974</v>
      </c>
      <c r="L191" s="79"/>
      <c r="M191" s="79"/>
      <c r="N191" s="79"/>
      <c r="O191" s="79"/>
      <c r="P191" s="79"/>
      <c r="S191" s="391" t="s">
        <v>975</v>
      </c>
      <c r="T191" s="391"/>
      <c r="U191" s="81" t="s">
        <v>533</v>
      </c>
      <c r="V191" s="81" t="s">
        <v>533</v>
      </c>
      <c r="W191" s="81" t="s">
        <v>533</v>
      </c>
      <c r="X191" s="81" t="s">
        <v>533</v>
      </c>
      <c r="Y191" s="81" t="s">
        <v>533</v>
      </c>
    </row>
    <row r="192" spans="11:25" ht="16" thickBot="1">
      <c r="K192" s="80" t="s">
        <v>976</v>
      </c>
      <c r="L192" s="81">
        <v>28439</v>
      </c>
      <c r="M192" s="81">
        <v>32116</v>
      </c>
      <c r="N192" s="81">
        <v>34434</v>
      </c>
      <c r="O192" s="81">
        <v>27594</v>
      </c>
      <c r="P192" s="81">
        <v>30320</v>
      </c>
      <c r="S192" s="388" t="s">
        <v>977</v>
      </c>
      <c r="T192" s="388"/>
      <c r="U192" s="89" t="s">
        <v>533</v>
      </c>
      <c r="V192" s="89">
        <v>2.1399999999999999E-2</v>
      </c>
      <c r="W192" s="89">
        <v>2.8199999999999999E-2</v>
      </c>
      <c r="X192" s="89">
        <v>3.6299999999999999E-2</v>
      </c>
      <c r="Y192" s="89">
        <v>3.2000000000000001E-2</v>
      </c>
    </row>
    <row r="193" spans="11:25" ht="16" thickBot="1">
      <c r="K193" s="82" t="s">
        <v>978</v>
      </c>
      <c r="L193" s="83">
        <v>1551</v>
      </c>
      <c r="M193" s="83">
        <v>2131</v>
      </c>
      <c r="N193" s="83">
        <v>1799</v>
      </c>
      <c r="O193" s="83">
        <v>1100</v>
      </c>
      <c r="P193" s="83">
        <v>2636</v>
      </c>
      <c r="S193" s="388" t="s">
        <v>979</v>
      </c>
      <c r="T193" s="388"/>
      <c r="U193" s="89" t="s">
        <v>533</v>
      </c>
      <c r="V193" s="89">
        <v>2.0899999999999998E-2</v>
      </c>
      <c r="W193" s="89">
        <v>3.04E-2</v>
      </c>
      <c r="X193" s="89">
        <v>3.39E-2</v>
      </c>
      <c r="Y193" s="89">
        <v>4.3999999999999997E-2</v>
      </c>
    </row>
    <row r="194" spans="11:25" ht="16" thickBot="1">
      <c r="K194" s="82" t="s">
        <v>980</v>
      </c>
      <c r="L194" s="83">
        <v>1392</v>
      </c>
      <c r="M194" s="83">
        <v>1551</v>
      </c>
      <c r="N194" s="83">
        <v>2226</v>
      </c>
      <c r="O194" s="83">
        <v>1797</v>
      </c>
      <c r="P194" s="83">
        <v>1098</v>
      </c>
      <c r="S194" s="388" t="s">
        <v>981</v>
      </c>
      <c r="T194" s="388"/>
      <c r="U194" s="89">
        <v>7.2499999999999995E-2</v>
      </c>
      <c r="V194" s="89">
        <v>7.7100000000000002E-2</v>
      </c>
      <c r="W194" s="89">
        <v>8.1199999999999994E-2</v>
      </c>
      <c r="X194" s="89">
        <v>8.3099999999999993E-2</v>
      </c>
      <c r="Y194" s="89">
        <v>8.4599999999999995E-2</v>
      </c>
    </row>
    <row r="195" spans="11:25" ht="16" thickBot="1">
      <c r="K195" s="82" t="s">
        <v>982</v>
      </c>
      <c r="L195" s="83">
        <v>1667</v>
      </c>
      <c r="M195" s="83">
        <v>1518</v>
      </c>
      <c r="N195" s="83">
        <v>1552</v>
      </c>
      <c r="O195" s="83">
        <v>2106</v>
      </c>
      <c r="P195" s="83">
        <v>1796</v>
      </c>
      <c r="S195" s="388" t="s">
        <v>983</v>
      </c>
      <c r="T195" s="388"/>
      <c r="U195" s="89">
        <v>4.02E-2</v>
      </c>
      <c r="V195" s="89">
        <v>4.0099999999999997E-2</v>
      </c>
      <c r="W195" s="89">
        <v>0.04</v>
      </c>
      <c r="X195" s="89">
        <v>4.0099999999999997E-2</v>
      </c>
      <c r="Y195" s="89">
        <v>3.9699999999999999E-2</v>
      </c>
    </row>
    <row r="196" spans="11:25" ht="16" thickBot="1">
      <c r="K196" s="82" t="s">
        <v>984</v>
      </c>
      <c r="L196" s="83">
        <v>1996</v>
      </c>
      <c r="M196" s="83">
        <v>1732</v>
      </c>
      <c r="N196" s="83">
        <v>1598</v>
      </c>
      <c r="O196" s="83">
        <v>1552</v>
      </c>
      <c r="P196" s="83">
        <v>2134</v>
      </c>
      <c r="S196" s="388" t="s">
        <v>985</v>
      </c>
      <c r="T196" s="388"/>
      <c r="U196" s="89">
        <v>4.2099999999999999E-2</v>
      </c>
      <c r="V196" s="89">
        <v>4.2500000000000003E-2</v>
      </c>
      <c r="W196" s="89">
        <v>4.2500000000000003E-2</v>
      </c>
      <c r="X196" s="89">
        <v>3.9899999999999998E-2</v>
      </c>
      <c r="Y196" s="89">
        <v>4.2900000000000001E-2</v>
      </c>
    </row>
    <row r="197" spans="11:25" ht="16" thickBot="1">
      <c r="K197" s="82" t="s">
        <v>986</v>
      </c>
      <c r="L197" s="83">
        <v>2271</v>
      </c>
      <c r="M197" s="83">
        <v>1995</v>
      </c>
      <c r="N197" s="83">
        <v>1744</v>
      </c>
      <c r="O197" s="83">
        <v>1474</v>
      </c>
      <c r="P197" s="83">
        <v>1553</v>
      </c>
      <c r="S197" s="389" t="s">
        <v>987</v>
      </c>
      <c r="T197" s="389"/>
      <c r="U197" s="85">
        <v>1016</v>
      </c>
      <c r="V197" s="85">
        <v>851</v>
      </c>
      <c r="W197" s="85">
        <v>1088</v>
      </c>
      <c r="X197" s="85">
        <v>1281</v>
      </c>
      <c r="Y197" s="85">
        <v>1144</v>
      </c>
    </row>
    <row r="198" spans="11:25" ht="16" thickBot="1">
      <c r="K198" s="82" t="s">
        <v>988</v>
      </c>
      <c r="L198" s="83">
        <v>3059</v>
      </c>
      <c r="M198" s="83">
        <v>3069</v>
      </c>
      <c r="N198" s="83">
        <v>3778</v>
      </c>
      <c r="O198" s="83">
        <v>3903</v>
      </c>
      <c r="P198" s="83">
        <v>2894</v>
      </c>
      <c r="S198" s="389" t="s">
        <v>989</v>
      </c>
      <c r="T198" s="389"/>
      <c r="U198" s="85">
        <v>1647</v>
      </c>
      <c r="V198" s="85">
        <v>1730</v>
      </c>
      <c r="W198" s="85">
        <v>1667</v>
      </c>
      <c r="X198" s="85">
        <v>1437</v>
      </c>
      <c r="Y198" s="85">
        <v>1552</v>
      </c>
    </row>
    <row r="199" spans="11:25" ht="16" thickBot="1">
      <c r="K199" s="82" t="s">
        <v>990</v>
      </c>
      <c r="L199" s="83">
        <v>4267</v>
      </c>
      <c r="M199" s="83">
        <v>3727</v>
      </c>
      <c r="N199" s="83">
        <v>3342</v>
      </c>
      <c r="O199" s="83">
        <v>3026</v>
      </c>
      <c r="P199" s="83">
        <v>3687</v>
      </c>
      <c r="S199" s="389" t="s">
        <v>991</v>
      </c>
      <c r="T199" s="389"/>
      <c r="U199" s="85">
        <v>-2765</v>
      </c>
      <c r="V199" s="85">
        <v>-2652</v>
      </c>
      <c r="W199" s="85">
        <v>-2468</v>
      </c>
      <c r="X199" s="85">
        <v>-2328</v>
      </c>
      <c r="Y199" s="85">
        <v>-2219</v>
      </c>
    </row>
    <row r="200" spans="11:25" ht="16" thickBot="1">
      <c r="K200" s="82" t="s">
        <v>992</v>
      </c>
      <c r="L200" s="83">
        <v>19562</v>
      </c>
      <c r="M200" s="83">
        <v>23189</v>
      </c>
      <c r="N200" s="83">
        <v>25515</v>
      </c>
      <c r="O200" s="83">
        <v>19565</v>
      </c>
      <c r="P200" s="83">
        <v>21103</v>
      </c>
      <c r="S200" s="390" t="s">
        <v>993</v>
      </c>
      <c r="T200" s="390"/>
      <c r="U200" s="85" t="s">
        <v>533</v>
      </c>
      <c r="V200" s="85" t="s">
        <v>533</v>
      </c>
      <c r="W200" s="85" t="s">
        <v>533</v>
      </c>
      <c r="X200" s="85" t="s">
        <v>533</v>
      </c>
      <c r="Y200" s="85" t="s">
        <v>533</v>
      </c>
    </row>
    <row r="201" spans="11:25" ht="16" thickBot="1">
      <c r="K201" s="84" t="s">
        <v>994</v>
      </c>
      <c r="L201" s="85" t="s">
        <v>533</v>
      </c>
      <c r="M201" s="85" t="s">
        <v>533</v>
      </c>
      <c r="N201" s="85" t="s">
        <v>533</v>
      </c>
      <c r="O201" s="85" t="s">
        <v>533</v>
      </c>
      <c r="P201" s="85" t="s">
        <v>533</v>
      </c>
      <c r="S201" s="386" t="s">
        <v>995</v>
      </c>
      <c r="T201" s="386"/>
      <c r="U201" s="90"/>
      <c r="V201" s="90"/>
      <c r="W201" s="90"/>
      <c r="X201" s="90"/>
      <c r="Y201" s="90"/>
    </row>
    <row r="202" spans="11:25" ht="16" thickBot="1">
      <c r="K202" s="80" t="s">
        <v>996</v>
      </c>
      <c r="L202" s="81" t="s">
        <v>533</v>
      </c>
      <c r="M202" s="81" t="s">
        <v>533</v>
      </c>
      <c r="N202" s="81" t="s">
        <v>533</v>
      </c>
      <c r="O202" s="81">
        <v>985</v>
      </c>
      <c r="P202" s="81">
        <v>896</v>
      </c>
      <c r="S202" s="387" t="s">
        <v>997</v>
      </c>
      <c r="T202" s="387"/>
      <c r="U202" s="91"/>
      <c r="V202" s="91"/>
      <c r="W202" s="91"/>
      <c r="X202" s="91"/>
      <c r="Y202" s="91"/>
    </row>
    <row r="203" spans="11:25" ht="16" thickBot="1">
      <c r="K203" s="82" t="s">
        <v>998</v>
      </c>
      <c r="L203" s="83" t="s">
        <v>533</v>
      </c>
      <c r="M203" s="83" t="s">
        <v>533</v>
      </c>
      <c r="N203" s="83" t="s">
        <v>533</v>
      </c>
      <c r="O203" s="83">
        <v>215</v>
      </c>
      <c r="P203" s="83">
        <v>223</v>
      </c>
      <c r="S203" s="385" t="s">
        <v>999</v>
      </c>
      <c r="T203" s="385"/>
      <c r="U203" s="83" t="s">
        <v>1000</v>
      </c>
      <c r="V203" s="83" t="s">
        <v>1001</v>
      </c>
      <c r="W203" s="83" t="s">
        <v>1002</v>
      </c>
      <c r="X203" s="83" t="s">
        <v>1003</v>
      </c>
      <c r="Y203" s="83" t="s">
        <v>1004</v>
      </c>
    </row>
    <row r="204" spans="11:25" ht="16" thickBot="1">
      <c r="K204" s="82" t="s">
        <v>1005</v>
      </c>
      <c r="L204" s="83" t="s">
        <v>533</v>
      </c>
      <c r="M204" s="83" t="s">
        <v>533</v>
      </c>
      <c r="N204" s="83" t="s">
        <v>533</v>
      </c>
      <c r="O204" s="83">
        <v>254</v>
      </c>
      <c r="P204" s="83">
        <v>188</v>
      </c>
      <c r="S204" s="385"/>
      <c r="T204" s="385"/>
      <c r="U204" s="93" t="s">
        <v>1006</v>
      </c>
      <c r="V204" s="93" t="s">
        <v>1007</v>
      </c>
      <c r="W204" s="93" t="s">
        <v>1008</v>
      </c>
      <c r="X204" s="93" t="s">
        <v>1009</v>
      </c>
      <c r="Y204" s="93" t="s">
        <v>1006</v>
      </c>
    </row>
    <row r="205" spans="11:25" ht="16" thickBot="1">
      <c r="K205" s="82" t="s">
        <v>1010</v>
      </c>
      <c r="L205" s="83" t="s">
        <v>533</v>
      </c>
      <c r="M205" s="83" t="s">
        <v>533</v>
      </c>
      <c r="N205" s="83" t="s">
        <v>533</v>
      </c>
      <c r="O205" s="83">
        <v>197</v>
      </c>
      <c r="P205" s="83">
        <v>154</v>
      </c>
      <c r="S205" s="385"/>
      <c r="T205" s="385"/>
      <c r="U205" s="83" t="s">
        <v>1011</v>
      </c>
      <c r="V205" s="83" t="s">
        <v>1012</v>
      </c>
      <c r="W205" s="83" t="s">
        <v>1013</v>
      </c>
      <c r="X205" s="83" t="s">
        <v>1014</v>
      </c>
      <c r="Y205" s="83" t="s">
        <v>1015</v>
      </c>
    </row>
    <row r="206" spans="11:25" ht="16" thickBot="1">
      <c r="K206" s="82" t="s">
        <v>1016</v>
      </c>
      <c r="L206" s="83" t="s">
        <v>533</v>
      </c>
      <c r="M206" s="83" t="s">
        <v>533</v>
      </c>
      <c r="N206" s="83" t="s">
        <v>533</v>
      </c>
      <c r="O206" s="83">
        <v>141</v>
      </c>
      <c r="P206" s="83">
        <v>116</v>
      </c>
      <c r="S206" s="385"/>
      <c r="T206" s="385"/>
      <c r="U206" s="93" t="s">
        <v>1017</v>
      </c>
      <c r="V206" s="93" t="s">
        <v>1018</v>
      </c>
      <c r="W206" s="93" t="s">
        <v>1019</v>
      </c>
      <c r="X206" s="93" t="s">
        <v>1020</v>
      </c>
      <c r="Y206" s="93" t="s">
        <v>1021</v>
      </c>
    </row>
    <row r="207" spans="11:25" ht="16" thickBot="1">
      <c r="K207" s="82" t="s">
        <v>1022</v>
      </c>
      <c r="L207" s="83" t="s">
        <v>533</v>
      </c>
      <c r="M207" s="83" t="s">
        <v>533</v>
      </c>
      <c r="N207" s="83" t="s">
        <v>533</v>
      </c>
      <c r="O207" s="83">
        <v>86</v>
      </c>
      <c r="P207" s="83">
        <v>76</v>
      </c>
      <c r="S207" s="385"/>
      <c r="T207" s="385"/>
      <c r="U207" s="83" t="s">
        <v>1011</v>
      </c>
      <c r="V207" s="83" t="s">
        <v>1012</v>
      </c>
      <c r="W207" s="83" t="s">
        <v>1013</v>
      </c>
      <c r="X207" s="83" t="s">
        <v>1014</v>
      </c>
      <c r="Y207" s="83" t="s">
        <v>1015</v>
      </c>
    </row>
    <row r="208" spans="11:25" ht="16" thickBot="1">
      <c r="K208" s="82" t="s">
        <v>1023</v>
      </c>
      <c r="L208" s="83" t="s">
        <v>533</v>
      </c>
      <c r="M208" s="83" t="s">
        <v>533</v>
      </c>
      <c r="N208" s="83" t="s">
        <v>533</v>
      </c>
      <c r="O208" s="83">
        <v>451</v>
      </c>
      <c r="P208" s="83">
        <v>342</v>
      </c>
      <c r="S208" s="385"/>
      <c r="T208" s="385"/>
      <c r="U208" s="93" t="s">
        <v>1024</v>
      </c>
      <c r="V208" s="93" t="s">
        <v>1025</v>
      </c>
      <c r="W208" s="93" t="s">
        <v>1026</v>
      </c>
      <c r="X208" s="93" t="s">
        <v>1027</v>
      </c>
      <c r="Y208" s="93" t="s">
        <v>1028</v>
      </c>
    </row>
    <row r="209" spans="11:25" ht="16" thickBot="1">
      <c r="K209" s="82" t="s">
        <v>1029</v>
      </c>
      <c r="L209" s="83" t="s">
        <v>533</v>
      </c>
      <c r="M209" s="83" t="s">
        <v>533</v>
      </c>
      <c r="N209" s="83" t="s">
        <v>533</v>
      </c>
      <c r="O209" s="83">
        <v>227</v>
      </c>
      <c r="P209" s="83">
        <v>192</v>
      </c>
      <c r="S209" s="385"/>
      <c r="T209" s="385"/>
      <c r="U209" s="83" t="s">
        <v>1012</v>
      </c>
      <c r="V209" s="83" t="s">
        <v>1013</v>
      </c>
      <c r="W209" s="83" t="s">
        <v>1014</v>
      </c>
      <c r="X209" s="83" t="s">
        <v>1015</v>
      </c>
      <c r="Y209" s="83" t="s">
        <v>1030</v>
      </c>
    </row>
    <row r="210" spans="11:25" ht="16" thickBot="1">
      <c r="K210" s="82" t="s">
        <v>1031</v>
      </c>
      <c r="L210" s="83" t="s">
        <v>533</v>
      </c>
      <c r="M210" s="83" t="s">
        <v>533</v>
      </c>
      <c r="N210" s="83" t="s">
        <v>533</v>
      </c>
      <c r="O210" s="83">
        <v>92</v>
      </c>
      <c r="P210" s="83">
        <v>139</v>
      </c>
      <c r="S210" s="385"/>
      <c r="T210" s="385"/>
      <c r="U210" s="93" t="s">
        <v>1032</v>
      </c>
      <c r="V210" s="93" t="s">
        <v>1032</v>
      </c>
      <c r="W210" s="93" t="s">
        <v>1033</v>
      </c>
      <c r="X210" s="93" t="s">
        <v>1033</v>
      </c>
      <c r="Y210" s="93" t="s">
        <v>1033</v>
      </c>
    </row>
    <row r="211" spans="11:25" ht="16" thickBot="1">
      <c r="K211" s="84" t="s">
        <v>1034</v>
      </c>
      <c r="L211" s="85" t="s">
        <v>533</v>
      </c>
      <c r="M211" s="85" t="s">
        <v>533</v>
      </c>
      <c r="N211" s="85" t="s">
        <v>533</v>
      </c>
      <c r="O211" s="85">
        <v>-109</v>
      </c>
      <c r="P211" s="85" t="s">
        <v>533</v>
      </c>
      <c r="S211" s="385" t="s">
        <v>1035</v>
      </c>
      <c r="T211" s="385"/>
      <c r="U211" s="83" t="s">
        <v>1036</v>
      </c>
      <c r="V211" s="401" t="s">
        <v>533</v>
      </c>
      <c r="W211" s="401" t="s">
        <v>533</v>
      </c>
      <c r="X211" s="401" t="s">
        <v>533</v>
      </c>
      <c r="Y211" s="83" t="s">
        <v>1036</v>
      </c>
    </row>
    <row r="212" spans="11:25" ht="16" thickBot="1">
      <c r="K212" s="80" t="s">
        <v>1037</v>
      </c>
      <c r="L212" s="81">
        <v>-2236</v>
      </c>
      <c r="M212" s="81">
        <v>-7280</v>
      </c>
      <c r="N212" s="81">
        <v>-10043</v>
      </c>
      <c r="O212" s="81">
        <v>-9948</v>
      </c>
      <c r="P212" s="81">
        <v>-9152</v>
      </c>
      <c r="S212" s="385"/>
      <c r="T212" s="385"/>
      <c r="U212" s="93" t="s">
        <v>1038</v>
      </c>
      <c r="V212" s="401"/>
      <c r="W212" s="401"/>
      <c r="X212" s="401"/>
      <c r="Y212" s="93" t="s">
        <v>1039</v>
      </c>
    </row>
    <row r="213" spans="11:25" ht="16" thickBot="1">
      <c r="K213" s="82" t="s">
        <v>1040</v>
      </c>
      <c r="L213" s="83">
        <v>18394</v>
      </c>
      <c r="M213" s="83">
        <v>25041</v>
      </c>
      <c r="N213" s="83">
        <v>25466</v>
      </c>
      <c r="O213" s="83">
        <v>22034</v>
      </c>
      <c r="P213" s="83">
        <v>18609</v>
      </c>
      <c r="S213" s="386" t="s">
        <v>1041</v>
      </c>
      <c r="T213" s="386"/>
      <c r="U213" s="94"/>
    </row>
    <row r="214" spans="11:25" ht="16" thickBot="1">
      <c r="K214" s="82" t="s">
        <v>1042</v>
      </c>
      <c r="L214" s="83">
        <v>9024</v>
      </c>
      <c r="M214" s="83">
        <v>13428</v>
      </c>
      <c r="N214" s="83">
        <v>14541</v>
      </c>
      <c r="O214" s="83">
        <v>12132</v>
      </c>
      <c r="P214" s="83">
        <v>10467</v>
      </c>
      <c r="S214" s="387" t="s">
        <v>997</v>
      </c>
      <c r="T214" s="387"/>
      <c r="U214" s="91"/>
    </row>
    <row r="215" spans="11:25" ht="31" thickBot="1">
      <c r="K215" s="82" t="s">
        <v>1043</v>
      </c>
      <c r="L215" s="83">
        <v>4197</v>
      </c>
      <c r="M215" s="83">
        <v>4878</v>
      </c>
      <c r="N215" s="83">
        <v>5028</v>
      </c>
      <c r="O215" s="83">
        <v>5076</v>
      </c>
      <c r="P215" s="83">
        <v>4480</v>
      </c>
      <c r="S215" s="95">
        <v>2023</v>
      </c>
      <c r="T215" s="92" t="s">
        <v>999</v>
      </c>
      <c r="U215" s="83" t="s">
        <v>1044</v>
      </c>
    </row>
    <row r="216" spans="11:25" ht="16" thickBot="1">
      <c r="K216" s="82" t="s">
        <v>1045</v>
      </c>
      <c r="L216" s="83">
        <v>20937</v>
      </c>
      <c r="M216" s="83">
        <v>27944</v>
      </c>
      <c r="N216" s="83">
        <v>25554</v>
      </c>
      <c r="O216" s="83">
        <v>21398</v>
      </c>
      <c r="P216" s="83">
        <v>17725</v>
      </c>
      <c r="S216" s="95"/>
      <c r="T216" s="92"/>
      <c r="U216" s="93" t="s">
        <v>1046</v>
      </c>
    </row>
    <row r="217" spans="11:25" ht="16" thickBot="1">
      <c r="K217" s="82" t="s">
        <v>1047</v>
      </c>
      <c r="L217" s="83">
        <v>10577</v>
      </c>
      <c r="M217" s="83">
        <v>13986</v>
      </c>
      <c r="N217" s="83">
        <v>12641</v>
      </c>
      <c r="O217" s="83">
        <v>10803</v>
      </c>
      <c r="P217" s="83">
        <v>9093</v>
      </c>
      <c r="S217" s="95"/>
      <c r="T217" s="92"/>
      <c r="U217" s="83" t="s">
        <v>1048</v>
      </c>
    </row>
    <row r="218" spans="11:25" ht="16" thickBot="1">
      <c r="K218" s="82" t="s">
        <v>1049</v>
      </c>
      <c r="L218" s="83">
        <v>78</v>
      </c>
      <c r="M218" s="83">
        <v>102</v>
      </c>
      <c r="N218" s="83">
        <v>90</v>
      </c>
      <c r="O218" s="83">
        <v>115</v>
      </c>
      <c r="P218" s="83">
        <v>180</v>
      </c>
      <c r="S218" s="95"/>
      <c r="T218" s="92"/>
      <c r="U218" s="93" t="s">
        <v>1019</v>
      </c>
    </row>
    <row r="219" spans="11:25" ht="16" thickBot="1">
      <c r="K219" s="82" t="s">
        <v>1050</v>
      </c>
      <c r="L219" s="83">
        <v>2543</v>
      </c>
      <c r="M219" s="83">
        <v>2903</v>
      </c>
      <c r="N219" s="83">
        <v>88</v>
      </c>
      <c r="O219" s="83">
        <v>-636</v>
      </c>
      <c r="P219" s="83">
        <v>-884</v>
      </c>
      <c r="S219" s="95"/>
      <c r="T219" s="92"/>
      <c r="U219" s="83" t="s">
        <v>1048</v>
      </c>
    </row>
    <row r="220" spans="11:25" ht="16" thickBot="1">
      <c r="K220" s="82" t="s">
        <v>1051</v>
      </c>
      <c r="L220" s="83">
        <v>1553</v>
      </c>
      <c r="M220" s="83">
        <v>558</v>
      </c>
      <c r="N220" s="83">
        <v>-1900</v>
      </c>
      <c r="O220" s="83">
        <v>-1329</v>
      </c>
      <c r="P220" s="83">
        <v>-1374</v>
      </c>
      <c r="S220" s="95"/>
      <c r="T220" s="92"/>
      <c r="U220" s="93" t="s">
        <v>1052</v>
      </c>
    </row>
    <row r="221" spans="11:25" ht="16" thickBot="1">
      <c r="K221" s="82" t="s">
        <v>1053</v>
      </c>
      <c r="L221" s="83">
        <v>-4119</v>
      </c>
      <c r="M221" s="83">
        <v>-4776</v>
      </c>
      <c r="N221" s="83">
        <v>-4938</v>
      </c>
      <c r="O221" s="83">
        <v>-4961</v>
      </c>
      <c r="P221" s="83">
        <v>-4300</v>
      </c>
      <c r="S221" s="95"/>
      <c r="T221" s="92"/>
      <c r="U221" s="83" t="s">
        <v>1011</v>
      </c>
    </row>
    <row r="222" spans="11:25" ht="16" thickBot="1">
      <c r="K222" s="82" t="s">
        <v>1054</v>
      </c>
      <c r="L222" s="83">
        <v>19568</v>
      </c>
      <c r="M222" s="83">
        <v>26464</v>
      </c>
      <c r="N222" s="83">
        <v>26653</v>
      </c>
      <c r="O222" s="83">
        <v>21946</v>
      </c>
      <c r="P222" s="83">
        <v>18644</v>
      </c>
      <c r="S222" s="95"/>
      <c r="T222" s="92"/>
      <c r="U222" s="93" t="s">
        <v>1055</v>
      </c>
    </row>
    <row r="223" spans="11:25" ht="16" thickBot="1">
      <c r="K223" s="82" t="s">
        <v>1056</v>
      </c>
      <c r="L223" s="83">
        <v>8455</v>
      </c>
      <c r="M223" s="83">
        <v>12585</v>
      </c>
      <c r="N223" s="83">
        <v>13703</v>
      </c>
      <c r="O223" s="83">
        <v>11470</v>
      </c>
      <c r="P223" s="83">
        <v>9889</v>
      </c>
      <c r="S223" s="95"/>
      <c r="T223" s="92" t="s">
        <v>1057</v>
      </c>
      <c r="U223" s="83" t="s">
        <v>1058</v>
      </c>
    </row>
    <row r="224" spans="11:25" ht="16" thickBot="1">
      <c r="K224" s="82" t="s">
        <v>1059</v>
      </c>
      <c r="L224" s="83">
        <v>2213</v>
      </c>
      <c r="M224" s="83">
        <v>5965</v>
      </c>
      <c r="N224" s="83">
        <v>3293</v>
      </c>
      <c r="O224" s="83">
        <v>3022</v>
      </c>
      <c r="P224" s="83">
        <v>2594</v>
      </c>
      <c r="S224" s="95"/>
      <c r="T224" s="92"/>
      <c r="U224" s="93" t="s">
        <v>1060</v>
      </c>
    </row>
    <row r="225" spans="11:21" ht="31" thickBot="1">
      <c r="K225" s="80" t="s">
        <v>1061</v>
      </c>
      <c r="L225" s="81" t="s">
        <v>533</v>
      </c>
      <c r="M225" s="81" t="s">
        <v>533</v>
      </c>
      <c r="N225" s="81" t="s">
        <v>533</v>
      </c>
      <c r="O225" s="81" t="s">
        <v>533</v>
      </c>
      <c r="P225" s="81" t="s">
        <v>533</v>
      </c>
      <c r="S225" s="95"/>
      <c r="T225" s="92" t="s">
        <v>1062</v>
      </c>
      <c r="U225" s="83" t="s">
        <v>1063</v>
      </c>
    </row>
    <row r="226" spans="11:21" ht="16" thickBot="1">
      <c r="K226" s="82" t="s">
        <v>977</v>
      </c>
      <c r="L226" s="89">
        <v>5.0099999999999999E-2</v>
      </c>
      <c r="M226" s="89">
        <v>2.4899999999999999E-2</v>
      </c>
      <c r="N226" s="89">
        <v>2.1399999999999999E-2</v>
      </c>
      <c r="O226" s="89">
        <v>3.6299999999999999E-2</v>
      </c>
      <c r="P226" s="89">
        <v>3.2000000000000001E-2</v>
      </c>
      <c r="S226" s="95"/>
      <c r="T226" s="92"/>
      <c r="U226" s="93" t="s">
        <v>1064</v>
      </c>
    </row>
    <row r="227" spans="11:21" ht="16" thickBot="1">
      <c r="K227" s="82" t="s">
        <v>979</v>
      </c>
      <c r="L227" s="89">
        <v>5.4199999999999998E-2</v>
      </c>
      <c r="M227" s="89">
        <v>2.6800000000000001E-2</v>
      </c>
      <c r="N227" s="89">
        <v>2.23E-2</v>
      </c>
      <c r="O227" s="89">
        <v>3.5900000000000001E-2</v>
      </c>
      <c r="P227" s="89">
        <v>3.85E-2</v>
      </c>
    </row>
    <row r="228" spans="11:21" ht="16" thickBot="1">
      <c r="K228" s="82" t="s">
        <v>981</v>
      </c>
      <c r="L228" s="89" t="s">
        <v>533</v>
      </c>
      <c r="M228" s="89" t="s">
        <v>533</v>
      </c>
      <c r="N228" s="89">
        <v>8.1199999999999994E-2</v>
      </c>
      <c r="O228" s="89">
        <v>8.3099999999999993E-2</v>
      </c>
      <c r="P228" s="89">
        <v>8.4599999999999995E-2</v>
      </c>
    </row>
    <row r="229" spans="11:21" ht="16" thickBot="1">
      <c r="K229" s="82" t="s">
        <v>983</v>
      </c>
      <c r="L229" s="89">
        <v>0.04</v>
      </c>
      <c r="M229" s="89">
        <v>4.0099999999999997E-2</v>
      </c>
      <c r="N229" s="89">
        <v>0.04</v>
      </c>
      <c r="O229" s="89">
        <v>3.9899999999999998E-2</v>
      </c>
      <c r="P229" s="89">
        <v>3.9800000000000002E-2</v>
      </c>
    </row>
    <row r="230" spans="11:21" ht="16" thickBot="1">
      <c r="K230" s="82" t="s">
        <v>985</v>
      </c>
      <c r="L230" s="89">
        <v>4.2099999999999999E-2</v>
      </c>
      <c r="M230" s="89">
        <v>4.2099999999999999E-2</v>
      </c>
      <c r="N230" s="89">
        <v>4.2700000000000002E-2</v>
      </c>
      <c r="O230" s="89">
        <v>4.2900000000000001E-2</v>
      </c>
      <c r="P230" s="89">
        <v>4.2900000000000001E-2</v>
      </c>
    </row>
    <row r="231" spans="11:21" ht="16" thickBot="1">
      <c r="K231" s="80" t="s">
        <v>1065</v>
      </c>
      <c r="L231" s="81">
        <v>-2236</v>
      </c>
      <c r="M231" s="81">
        <v>-4428</v>
      </c>
      <c r="N231" s="81">
        <v>-10043</v>
      </c>
      <c r="O231" s="81">
        <v>-9948</v>
      </c>
      <c r="P231" s="81">
        <v>-9152</v>
      </c>
    </row>
    <row r="232" spans="11:21" ht="16" thickBot="1">
      <c r="K232" s="82" t="s">
        <v>1066</v>
      </c>
      <c r="L232" s="83">
        <v>4581</v>
      </c>
      <c r="M232" s="83">
        <v>4436</v>
      </c>
      <c r="N232" s="83">
        <v>656</v>
      </c>
      <c r="O232" s="83">
        <v>551</v>
      </c>
      <c r="P232" s="83">
        <v>475</v>
      </c>
    </row>
    <row r="233" spans="11:21" ht="16" thickBot="1">
      <c r="K233" s="82" t="s">
        <v>1067</v>
      </c>
      <c r="L233" s="83">
        <v>0</v>
      </c>
      <c r="M233" s="83">
        <v>0</v>
      </c>
      <c r="N233" s="83">
        <v>0</v>
      </c>
      <c r="O233" s="83">
        <v>0</v>
      </c>
      <c r="P233" s="83">
        <v>0</v>
      </c>
    </row>
    <row r="234" spans="11:21" ht="16" thickBot="1">
      <c r="K234" s="82" t="s">
        <v>1068</v>
      </c>
      <c r="L234" s="83">
        <v>-2698</v>
      </c>
      <c r="M234" s="83">
        <v>-4088</v>
      </c>
      <c r="N234" s="83">
        <v>-5761</v>
      </c>
      <c r="O234" s="83">
        <v>-5538</v>
      </c>
      <c r="P234" s="83">
        <v>-5327</v>
      </c>
    </row>
    <row r="235" spans="11:21" ht="16" thickBot="1">
      <c r="K235" s="82" t="s">
        <v>1069</v>
      </c>
      <c r="L235" s="83">
        <v>-4119</v>
      </c>
      <c r="M235" s="83">
        <v>-4776</v>
      </c>
      <c r="N235" s="83">
        <v>-4938</v>
      </c>
      <c r="O235" s="83">
        <v>-4961</v>
      </c>
      <c r="P235" s="83">
        <v>-4300</v>
      </c>
    </row>
    <row r="236" spans="11:21" ht="16" thickBot="1">
      <c r="K236" s="80" t="s">
        <v>1070</v>
      </c>
      <c r="L236" s="81" t="s">
        <v>533</v>
      </c>
      <c r="M236" s="81" t="s">
        <v>533</v>
      </c>
      <c r="N236" s="81" t="s">
        <v>533</v>
      </c>
      <c r="O236" s="81" t="s">
        <v>533</v>
      </c>
      <c r="P236" s="81" t="s">
        <v>533</v>
      </c>
    </row>
    <row r="237" spans="11:21" ht="16" thickBot="1">
      <c r="K237" s="82" t="s">
        <v>1071</v>
      </c>
      <c r="L237" s="89">
        <v>0.62</v>
      </c>
      <c r="M237" s="89">
        <v>0.65</v>
      </c>
      <c r="N237" s="89">
        <v>0.66</v>
      </c>
      <c r="O237" s="89">
        <v>0.74</v>
      </c>
      <c r="P237" s="89">
        <v>0.71</v>
      </c>
    </row>
    <row r="238" spans="11:21" ht="16" thickBot="1">
      <c r="K238" s="82" t="s">
        <v>1072</v>
      </c>
      <c r="L238" s="89">
        <v>0.38</v>
      </c>
      <c r="M238" s="89">
        <v>0.35</v>
      </c>
      <c r="N238" s="89">
        <v>0.34</v>
      </c>
      <c r="O238" s="89">
        <v>0.26</v>
      </c>
      <c r="P238" s="89">
        <v>0.28999999999999998</v>
      </c>
    </row>
    <row r="239" spans="11:21" ht="16" thickBot="1">
      <c r="K239" s="84" t="s">
        <v>1073</v>
      </c>
      <c r="L239" s="85">
        <v>33828</v>
      </c>
      <c r="M239" s="85">
        <v>49312</v>
      </c>
      <c r="N239" s="85">
        <v>48328</v>
      </c>
      <c r="O239" s="85">
        <v>42264</v>
      </c>
      <c r="P239" s="85">
        <v>36150</v>
      </c>
    </row>
    <row r="240" spans="11:21">
      <c r="K240" s="84" t="s">
        <v>1074</v>
      </c>
      <c r="L240" s="85">
        <v>31592</v>
      </c>
      <c r="M240" s="85">
        <v>42032</v>
      </c>
      <c r="N240" s="85">
        <v>38285</v>
      </c>
      <c r="O240" s="85">
        <v>32316</v>
      </c>
      <c r="P240" s="85">
        <v>26998</v>
      </c>
    </row>
  </sheetData>
  <mergeCells count="207">
    <mergeCell ref="K4:P4"/>
    <mergeCell ref="S4:Y4"/>
    <mergeCell ref="AB4:AG4"/>
    <mergeCell ref="B4:H4"/>
    <mergeCell ref="B2:AI3"/>
    <mergeCell ref="V211:V212"/>
    <mergeCell ref="W211:W212"/>
    <mergeCell ref="X211:X212"/>
    <mergeCell ref="S8:T8"/>
    <mergeCell ref="S9:T9"/>
    <mergeCell ref="S10:T10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S21:T21"/>
    <mergeCell ref="S22:T22"/>
    <mergeCell ref="S23:T23"/>
    <mergeCell ref="S24:T24"/>
    <mergeCell ref="S25:T25"/>
    <mergeCell ref="S26:T26"/>
    <mergeCell ref="S27:T27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49:T49"/>
    <mergeCell ref="S50:T50"/>
    <mergeCell ref="S51:T51"/>
    <mergeCell ref="S52:T52"/>
    <mergeCell ref="S53:T53"/>
    <mergeCell ref="S54:T54"/>
    <mergeCell ref="S55:T55"/>
    <mergeCell ref="S56:T56"/>
    <mergeCell ref="S57:T57"/>
    <mergeCell ref="S58:T58"/>
    <mergeCell ref="S59:T59"/>
    <mergeCell ref="S60:T60"/>
    <mergeCell ref="S61:T61"/>
    <mergeCell ref="S62:T62"/>
    <mergeCell ref="S63:T63"/>
    <mergeCell ref="S64:T64"/>
    <mergeCell ref="S65:T65"/>
    <mergeCell ref="S66:T66"/>
    <mergeCell ref="S67:T67"/>
    <mergeCell ref="S68:T68"/>
    <mergeCell ref="S69:T69"/>
    <mergeCell ref="S70:T70"/>
    <mergeCell ref="S71:T71"/>
    <mergeCell ref="S72:T72"/>
    <mergeCell ref="S73:T73"/>
    <mergeCell ref="S74:T74"/>
    <mergeCell ref="S75:T75"/>
    <mergeCell ref="S76:T76"/>
    <mergeCell ref="S77:T77"/>
    <mergeCell ref="S78:T78"/>
    <mergeCell ref="S79:T79"/>
    <mergeCell ref="S80:T80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99:T9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S109:T109"/>
    <mergeCell ref="S110:T110"/>
    <mergeCell ref="S111:T111"/>
    <mergeCell ref="S112:T112"/>
    <mergeCell ref="S113:T113"/>
    <mergeCell ref="S114:T114"/>
    <mergeCell ref="S115:T115"/>
    <mergeCell ref="S116:T116"/>
    <mergeCell ref="S117:T117"/>
    <mergeCell ref="S118:T118"/>
    <mergeCell ref="S119:T119"/>
    <mergeCell ref="S120:T120"/>
    <mergeCell ref="S121:T121"/>
    <mergeCell ref="S122:T122"/>
    <mergeCell ref="S123:T123"/>
    <mergeCell ref="S124:T124"/>
    <mergeCell ref="S125:T125"/>
    <mergeCell ref="S126:T126"/>
    <mergeCell ref="S127:T127"/>
    <mergeCell ref="S128:T128"/>
    <mergeCell ref="S129:T129"/>
    <mergeCell ref="S130:T130"/>
    <mergeCell ref="S131:T131"/>
    <mergeCell ref="S132:T132"/>
    <mergeCell ref="S133:T133"/>
    <mergeCell ref="S134:T134"/>
    <mergeCell ref="S135:T135"/>
    <mergeCell ref="S136:T136"/>
    <mergeCell ref="S137:T137"/>
    <mergeCell ref="S138:T138"/>
    <mergeCell ref="S139:T139"/>
    <mergeCell ref="S140:T140"/>
    <mergeCell ref="S141:T141"/>
    <mergeCell ref="S142:T142"/>
    <mergeCell ref="S143:T143"/>
    <mergeCell ref="S144:T144"/>
    <mergeCell ref="S145:T145"/>
    <mergeCell ref="S146:T146"/>
    <mergeCell ref="S147:T147"/>
    <mergeCell ref="S148:T148"/>
    <mergeCell ref="S149:T149"/>
    <mergeCell ref="S150:T150"/>
    <mergeCell ref="S151:T151"/>
    <mergeCell ref="S152:T152"/>
    <mergeCell ref="S153:T153"/>
    <mergeCell ref="S154:T154"/>
    <mergeCell ref="S155:T155"/>
    <mergeCell ref="S156:T156"/>
    <mergeCell ref="S157:T157"/>
    <mergeCell ref="S158:T158"/>
    <mergeCell ref="S159:T159"/>
    <mergeCell ref="S160:T160"/>
    <mergeCell ref="S161:T161"/>
    <mergeCell ref="S162:T162"/>
    <mergeCell ref="S163:T163"/>
    <mergeCell ref="S164:T164"/>
    <mergeCell ref="S165:T165"/>
    <mergeCell ref="S166:T166"/>
    <mergeCell ref="S167:T167"/>
    <mergeCell ref="S168:T168"/>
    <mergeCell ref="S169:T169"/>
    <mergeCell ref="S170:T170"/>
    <mergeCell ref="S171:T171"/>
    <mergeCell ref="S172:T172"/>
    <mergeCell ref="S173:T173"/>
    <mergeCell ref="S174:T174"/>
    <mergeCell ref="S175:T175"/>
    <mergeCell ref="S176:T176"/>
    <mergeCell ref="S177:T177"/>
    <mergeCell ref="S178:T178"/>
    <mergeCell ref="S179:T179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88:T188"/>
    <mergeCell ref="S189:T189"/>
    <mergeCell ref="S190:T190"/>
    <mergeCell ref="S191:T191"/>
    <mergeCell ref="S192:T192"/>
    <mergeCell ref="S193:T193"/>
    <mergeCell ref="S194:T194"/>
    <mergeCell ref="S211:T212"/>
    <mergeCell ref="S213:T213"/>
    <mergeCell ref="S214:T214"/>
    <mergeCell ref="S195:T195"/>
    <mergeCell ref="S196:T196"/>
    <mergeCell ref="S197:T197"/>
    <mergeCell ref="S198:T198"/>
    <mergeCell ref="S199:T199"/>
    <mergeCell ref="S200:T200"/>
    <mergeCell ref="S201:T201"/>
    <mergeCell ref="S202:T202"/>
    <mergeCell ref="S203:T2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3D5F8-0FAE-0D4C-877F-3E08BDBF8C48}">
  <dimension ref="B1:AE204"/>
  <sheetViews>
    <sheetView zoomScale="68" workbookViewId="0">
      <selection activeCell="I5" sqref="I5"/>
    </sheetView>
  </sheetViews>
  <sheetFormatPr baseColWidth="10" defaultColWidth="11.5" defaultRowHeight="15"/>
  <cols>
    <col min="10" max="10" width="28.6640625" customWidth="1"/>
    <col min="11" max="11" width="14.83203125" customWidth="1"/>
    <col min="17" max="17" width="24.5" customWidth="1"/>
    <col min="30" max="30" width="11.5" bestFit="1" customWidth="1"/>
    <col min="31" max="31" width="11.5" style="121" bestFit="1" customWidth="1"/>
  </cols>
  <sheetData>
    <row r="1" spans="2:30">
      <c r="B1" s="408" t="s">
        <v>498</v>
      </c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</row>
    <row r="2" spans="2:30"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408"/>
      <c r="Y2" s="408"/>
      <c r="Z2" s="408"/>
      <c r="AA2" s="408"/>
      <c r="AB2" s="408"/>
      <c r="AC2" s="408"/>
      <c r="AD2" s="408"/>
    </row>
    <row r="3" spans="2:30">
      <c r="B3" s="399" t="s">
        <v>1075</v>
      </c>
      <c r="C3" s="399"/>
      <c r="D3" s="399"/>
      <c r="E3" s="399"/>
      <c r="F3" s="399"/>
      <c r="G3" s="399"/>
      <c r="J3" s="399" t="s">
        <v>1076</v>
      </c>
      <c r="K3" s="399"/>
      <c r="L3" s="399"/>
      <c r="M3" s="399"/>
      <c r="N3" s="399"/>
      <c r="Q3" s="399" t="s">
        <v>1077</v>
      </c>
      <c r="R3" s="399"/>
      <c r="S3" s="399"/>
      <c r="T3" s="399"/>
      <c r="U3" s="399"/>
      <c r="X3" s="399" t="s">
        <v>1078</v>
      </c>
      <c r="Y3" s="399"/>
      <c r="Z3" s="399"/>
      <c r="AA3" s="399"/>
      <c r="AB3" s="399"/>
    </row>
    <row r="5" spans="2:30">
      <c r="B5" s="70" t="s">
        <v>503</v>
      </c>
      <c r="J5" s="70" t="s">
        <v>504</v>
      </c>
      <c r="Q5" s="70" t="s">
        <v>505</v>
      </c>
      <c r="X5" s="70" t="s">
        <v>506</v>
      </c>
    </row>
    <row r="6" spans="2:30" ht="16" thickBot="1">
      <c r="B6" s="70" t="s">
        <v>507</v>
      </c>
      <c r="J6" s="70" t="s">
        <v>507</v>
      </c>
      <c r="Q6" s="70" t="s">
        <v>507</v>
      </c>
      <c r="X6" s="70" t="s">
        <v>507</v>
      </c>
    </row>
    <row r="7" spans="2:30" ht="16" thickBot="1">
      <c r="B7" s="97"/>
      <c r="C7" s="97" t="s">
        <v>508</v>
      </c>
      <c r="D7" s="72">
        <v>2022</v>
      </c>
      <c r="E7" s="72">
        <v>2021</v>
      </c>
      <c r="F7" s="72">
        <v>2020</v>
      </c>
      <c r="G7" s="72">
        <v>2019</v>
      </c>
      <c r="J7" s="71"/>
      <c r="K7" s="72">
        <v>2022</v>
      </c>
      <c r="L7" s="72">
        <v>2021</v>
      </c>
      <c r="M7" s="72">
        <v>2020</v>
      </c>
      <c r="N7" s="72">
        <v>2019</v>
      </c>
      <c r="Q7" s="71"/>
      <c r="R7" s="72">
        <v>2022</v>
      </c>
      <c r="S7" s="72">
        <v>2021</v>
      </c>
      <c r="T7" s="72">
        <v>2020</v>
      </c>
      <c r="U7" s="72">
        <v>2019</v>
      </c>
      <c r="X7" s="71"/>
      <c r="Y7" s="72">
        <v>2022</v>
      </c>
      <c r="Z7" s="72">
        <v>2021</v>
      </c>
      <c r="AA7" s="72">
        <v>2020</v>
      </c>
      <c r="AB7" s="72">
        <v>2019</v>
      </c>
    </row>
    <row r="8" spans="2:30" ht="16" thickBot="1">
      <c r="B8" s="73" t="s">
        <v>509</v>
      </c>
      <c r="C8" s="74">
        <v>61</v>
      </c>
      <c r="D8" s="106">
        <v>3</v>
      </c>
      <c r="E8" s="107">
        <v>22</v>
      </c>
      <c r="F8" s="108" t="s">
        <v>1079</v>
      </c>
      <c r="G8" s="108" t="s">
        <v>1079</v>
      </c>
      <c r="J8" s="73" t="s">
        <v>509</v>
      </c>
      <c r="K8" s="106" t="s">
        <v>1080</v>
      </c>
      <c r="L8" s="107" t="s">
        <v>1081</v>
      </c>
      <c r="M8" s="108" t="s">
        <v>1082</v>
      </c>
      <c r="N8" s="108" t="s">
        <v>1082</v>
      </c>
      <c r="Q8" s="73" t="s">
        <v>509</v>
      </c>
      <c r="R8" s="106" t="s">
        <v>1080</v>
      </c>
      <c r="S8" s="107" t="s">
        <v>1081</v>
      </c>
      <c r="T8" s="108" t="s">
        <v>1082</v>
      </c>
      <c r="U8" s="108" t="s">
        <v>1082</v>
      </c>
      <c r="X8" s="73" t="s">
        <v>509</v>
      </c>
      <c r="Y8" s="106" t="s">
        <v>1080</v>
      </c>
      <c r="Z8" s="107" t="s">
        <v>1081</v>
      </c>
      <c r="AA8" s="108" t="s">
        <v>1082</v>
      </c>
      <c r="AB8" s="108" t="s">
        <v>1082</v>
      </c>
    </row>
    <row r="9" spans="2:30" ht="16" thickBot="1">
      <c r="B9" s="98" t="s">
        <v>64</v>
      </c>
      <c r="C9" s="79"/>
      <c r="D9" s="99"/>
      <c r="E9" s="99"/>
      <c r="F9" s="99"/>
      <c r="G9" s="99"/>
      <c r="J9" s="77" t="s">
        <v>515</v>
      </c>
      <c r="K9" s="78" t="s">
        <v>1083</v>
      </c>
      <c r="L9" s="78" t="s">
        <v>1084</v>
      </c>
      <c r="M9" s="78" t="s">
        <v>1085</v>
      </c>
      <c r="N9" s="78" t="s">
        <v>1086</v>
      </c>
      <c r="Q9" s="77" t="s">
        <v>515</v>
      </c>
      <c r="R9" s="78" t="s">
        <v>1083</v>
      </c>
      <c r="S9" s="78" t="s">
        <v>1084</v>
      </c>
      <c r="T9" s="78" t="s">
        <v>1085</v>
      </c>
      <c r="U9" s="78" t="s">
        <v>1086</v>
      </c>
      <c r="X9" s="77" t="s">
        <v>515</v>
      </c>
      <c r="Y9" s="78" t="s">
        <v>1083</v>
      </c>
      <c r="Z9" s="78" t="s">
        <v>1084</v>
      </c>
      <c r="AA9" s="78" t="s">
        <v>1085</v>
      </c>
      <c r="AB9" s="78" t="s">
        <v>1086</v>
      </c>
    </row>
    <row r="10" spans="2:30" ht="16" thickBot="1">
      <c r="B10" s="100" t="s">
        <v>187</v>
      </c>
      <c r="C10" s="101" t="s">
        <v>1087</v>
      </c>
      <c r="D10" s="102">
        <v>0.29399999999999998</v>
      </c>
      <c r="E10" s="102">
        <v>0.34300000000000003</v>
      </c>
      <c r="F10" s="102">
        <v>0.35899999999999999</v>
      </c>
      <c r="G10" s="102">
        <v>0.32200000000000001</v>
      </c>
      <c r="J10" s="79" t="s">
        <v>522</v>
      </c>
      <c r="K10" s="79"/>
      <c r="L10" s="79"/>
      <c r="M10" s="79"/>
      <c r="N10" s="79"/>
      <c r="Q10" s="153" t="s">
        <v>523</v>
      </c>
      <c r="R10" s="154">
        <v>313651</v>
      </c>
      <c r="S10" s="154">
        <v>318639</v>
      </c>
      <c r="T10" s="154">
        <v>300522</v>
      </c>
      <c r="U10" s="155">
        <v>235587</v>
      </c>
      <c r="X10" s="79" t="s">
        <v>524</v>
      </c>
      <c r="Y10" s="79"/>
      <c r="Z10" s="79"/>
      <c r="AA10" s="79"/>
      <c r="AB10" s="79"/>
    </row>
    <row r="11" spans="2:30" ht="16" thickBot="1">
      <c r="B11" s="100" t="s">
        <v>525</v>
      </c>
      <c r="C11" s="101" t="s">
        <v>1088</v>
      </c>
      <c r="D11" s="102">
        <v>-0.15</v>
      </c>
      <c r="E11" s="102">
        <v>-6.4000000000000001E-2</v>
      </c>
      <c r="F11" s="102">
        <v>-2.8000000000000001E-2</v>
      </c>
      <c r="G11" s="102">
        <v>-0.10100000000000001</v>
      </c>
      <c r="J11" s="80" t="s">
        <v>527</v>
      </c>
      <c r="K11" s="91">
        <v>15167</v>
      </c>
      <c r="L11" s="91">
        <v>93179</v>
      </c>
      <c r="M11" s="91">
        <v>63684</v>
      </c>
      <c r="N11" s="91">
        <v>85022</v>
      </c>
      <c r="Q11" s="131" t="s">
        <v>528</v>
      </c>
      <c r="R11" s="144">
        <v>313.7</v>
      </c>
      <c r="S11" s="144">
        <v>318.60000000000002</v>
      </c>
      <c r="T11" s="144">
        <v>300.5</v>
      </c>
      <c r="U11" s="144">
        <v>235.6</v>
      </c>
      <c r="X11" s="125" t="s">
        <v>529</v>
      </c>
      <c r="Y11" s="160">
        <v>-49019</v>
      </c>
      <c r="Z11" s="160">
        <v>-38679</v>
      </c>
      <c r="AA11" s="160">
        <v>-14466</v>
      </c>
      <c r="AB11" s="161">
        <v>-31083</v>
      </c>
    </row>
    <row r="12" spans="2:30" ht="16" thickBot="1">
      <c r="B12" s="100" t="s">
        <v>189</v>
      </c>
      <c r="C12" s="101" t="s">
        <v>1089</v>
      </c>
      <c r="D12" s="102">
        <v>-0.159</v>
      </c>
      <c r="E12" s="102">
        <v>-0.11600000000000001</v>
      </c>
      <c r="F12" s="102">
        <v>-4.4999999999999998E-2</v>
      </c>
      <c r="G12" s="102">
        <v>-0.13400000000000001</v>
      </c>
      <c r="J12" s="147" t="s">
        <v>537</v>
      </c>
      <c r="K12" s="148">
        <v>9517</v>
      </c>
      <c r="L12" s="148">
        <v>50791</v>
      </c>
      <c r="M12" s="148">
        <v>29259</v>
      </c>
      <c r="N12" s="149">
        <v>13543</v>
      </c>
      <c r="Q12" s="84" t="s">
        <v>532</v>
      </c>
      <c r="R12" s="110" t="s">
        <v>533</v>
      </c>
      <c r="S12" s="110" t="s">
        <v>533</v>
      </c>
      <c r="T12" s="110" t="s">
        <v>533</v>
      </c>
      <c r="U12" s="110" t="s">
        <v>533</v>
      </c>
      <c r="X12" s="135" t="s">
        <v>534</v>
      </c>
      <c r="Y12" s="159">
        <v>2.75</v>
      </c>
      <c r="Z12" s="159">
        <v>4.1500000000000004</v>
      </c>
      <c r="AA12" s="159">
        <v>4.8499999999999996</v>
      </c>
      <c r="AB12" s="159">
        <v>7.67</v>
      </c>
    </row>
    <row r="13" spans="2:30" ht="16" thickBot="1">
      <c r="B13" s="100" t="s">
        <v>535</v>
      </c>
      <c r="C13" s="101" t="s">
        <v>1090</v>
      </c>
      <c r="D13" s="102">
        <v>-0.156</v>
      </c>
      <c r="E13" s="102">
        <v>-0.121</v>
      </c>
      <c r="F13" s="102">
        <v>-4.8000000000000001E-2</v>
      </c>
      <c r="G13" s="102">
        <v>-0.13200000000000001</v>
      </c>
      <c r="J13" s="131" t="s">
        <v>541</v>
      </c>
      <c r="K13" s="144">
        <v>5650</v>
      </c>
      <c r="L13" s="144">
        <v>42388</v>
      </c>
      <c r="M13" s="144">
        <v>34425</v>
      </c>
      <c r="N13" s="144">
        <v>71479</v>
      </c>
      <c r="Q13" s="84" t="s">
        <v>464</v>
      </c>
      <c r="R13" s="110">
        <v>313651</v>
      </c>
      <c r="S13" s="110">
        <v>318639</v>
      </c>
      <c r="T13" s="110">
        <v>300522</v>
      </c>
      <c r="U13" s="110">
        <v>235587</v>
      </c>
      <c r="X13" s="82" t="s">
        <v>538</v>
      </c>
      <c r="Y13" s="113">
        <v>2.75</v>
      </c>
      <c r="Z13" s="113">
        <v>4.1500000000000004</v>
      </c>
      <c r="AA13" s="113">
        <v>4.8499999999999996</v>
      </c>
      <c r="AB13" s="113">
        <v>7.67</v>
      </c>
    </row>
    <row r="14" spans="2:30" ht="16" thickBot="1">
      <c r="B14" s="100" t="s">
        <v>539</v>
      </c>
      <c r="C14" s="101" t="s">
        <v>1091</v>
      </c>
      <c r="D14" s="102" t="s">
        <v>49</v>
      </c>
      <c r="E14" s="102" t="s">
        <v>49</v>
      </c>
      <c r="F14" s="102" t="s">
        <v>49</v>
      </c>
      <c r="G14" s="102" t="s">
        <v>49</v>
      </c>
      <c r="J14" s="132" t="s">
        <v>546</v>
      </c>
      <c r="K14" s="145">
        <v>42334</v>
      </c>
      <c r="L14" s="145">
        <v>31784</v>
      </c>
      <c r="M14" s="145">
        <v>22795</v>
      </c>
      <c r="N14" s="146">
        <v>24256</v>
      </c>
      <c r="Q14" s="80" t="s">
        <v>542</v>
      </c>
      <c r="R14" s="91">
        <v>221336</v>
      </c>
      <c r="S14" s="91">
        <v>209467</v>
      </c>
      <c r="T14" s="91" t="s">
        <v>1092</v>
      </c>
      <c r="U14" s="91" t="s">
        <v>1093</v>
      </c>
      <c r="X14" s="84" t="s">
        <v>543</v>
      </c>
      <c r="Y14" s="88" t="s">
        <v>533</v>
      </c>
      <c r="Z14" s="88" t="s">
        <v>533</v>
      </c>
      <c r="AA14" s="88" t="s">
        <v>533</v>
      </c>
      <c r="AB14" s="88" t="s">
        <v>533</v>
      </c>
    </row>
    <row r="15" spans="2:30" ht="16" thickBot="1">
      <c r="B15" s="100" t="s">
        <v>544</v>
      </c>
      <c r="C15" s="101" t="s">
        <v>1094</v>
      </c>
      <c r="D15" s="102">
        <v>-0.156</v>
      </c>
      <c r="E15" s="102">
        <v>-0.121</v>
      </c>
      <c r="F15" s="102">
        <v>-4.8000000000000001E-2</v>
      </c>
      <c r="G15" s="102">
        <v>-0.13200000000000001</v>
      </c>
      <c r="J15" s="131" t="s">
        <v>549</v>
      </c>
      <c r="K15" s="144">
        <v>42834</v>
      </c>
      <c r="L15" s="144">
        <v>31984</v>
      </c>
      <c r="M15" s="144">
        <v>22795</v>
      </c>
      <c r="N15" s="144">
        <v>24256</v>
      </c>
      <c r="Q15" s="82" t="s">
        <v>239</v>
      </c>
      <c r="R15" s="109">
        <v>221336</v>
      </c>
      <c r="S15" s="109">
        <v>209467</v>
      </c>
      <c r="T15" s="109" t="s">
        <v>1092</v>
      </c>
      <c r="U15" s="109" t="s">
        <v>1093</v>
      </c>
      <c r="X15" s="84" t="s">
        <v>547</v>
      </c>
      <c r="Y15" s="88" t="s">
        <v>533</v>
      </c>
      <c r="Z15" s="88" t="s">
        <v>533</v>
      </c>
      <c r="AA15" s="88" t="s">
        <v>533</v>
      </c>
      <c r="AB15" s="88" t="s">
        <v>533</v>
      </c>
    </row>
    <row r="16" spans="2:30" ht="16" thickBot="1">
      <c r="B16" s="98" t="s">
        <v>548</v>
      </c>
      <c r="C16" s="79"/>
      <c r="D16" s="99"/>
      <c r="E16" s="99"/>
      <c r="F16" s="99"/>
      <c r="G16" s="99"/>
      <c r="J16" s="82" t="s">
        <v>552</v>
      </c>
      <c r="K16" s="109">
        <v>-500</v>
      </c>
      <c r="L16" s="109">
        <v>-200</v>
      </c>
      <c r="M16" s="109" t="s">
        <v>533</v>
      </c>
      <c r="N16" s="109" t="s">
        <v>533</v>
      </c>
      <c r="Q16" s="84" t="s">
        <v>179</v>
      </c>
      <c r="R16" s="110">
        <v>92315</v>
      </c>
      <c r="S16" s="110">
        <v>109172</v>
      </c>
      <c r="T16" s="110">
        <v>107896</v>
      </c>
      <c r="U16" s="110">
        <v>75854</v>
      </c>
      <c r="X16" s="80" t="s">
        <v>550</v>
      </c>
      <c r="Y16" s="112">
        <v>21.42</v>
      </c>
      <c r="Z16" s="112">
        <v>17.16</v>
      </c>
      <c r="AA16" s="112">
        <v>8.07</v>
      </c>
      <c r="AB16" s="112">
        <v>8.2200000000000006</v>
      </c>
    </row>
    <row r="17" spans="2:28" ht="16" thickBot="1">
      <c r="B17" s="100" t="s">
        <v>83</v>
      </c>
      <c r="C17" s="101" t="s">
        <v>1095</v>
      </c>
      <c r="D17" s="104">
        <v>1.22</v>
      </c>
      <c r="E17" s="104">
        <v>1.24</v>
      </c>
      <c r="F17" s="104">
        <v>1.27</v>
      </c>
      <c r="G17" s="104" t="s">
        <v>49</v>
      </c>
      <c r="J17" s="84" t="s">
        <v>555</v>
      </c>
      <c r="K17" s="110">
        <v>42334</v>
      </c>
      <c r="L17" s="110">
        <v>31784</v>
      </c>
      <c r="M17" s="110">
        <v>22795</v>
      </c>
      <c r="N17" s="110">
        <v>24256</v>
      </c>
      <c r="Q17" s="86"/>
      <c r="R17" s="86"/>
      <c r="S17" s="86"/>
      <c r="T17" s="86"/>
      <c r="U17" s="86"/>
      <c r="X17" s="82" t="s">
        <v>557</v>
      </c>
      <c r="Y17" s="113">
        <v>21.42</v>
      </c>
      <c r="Z17" s="113">
        <v>17.16</v>
      </c>
      <c r="AA17" s="113">
        <v>8.07</v>
      </c>
      <c r="AB17" s="113">
        <v>8.2200000000000006</v>
      </c>
    </row>
    <row r="18" spans="2:28" ht="16" thickBot="1">
      <c r="B18" s="100" t="s">
        <v>554</v>
      </c>
      <c r="C18" s="101" t="s">
        <v>1090</v>
      </c>
      <c r="D18" s="102">
        <v>-0.156</v>
      </c>
      <c r="E18" s="102">
        <v>-0.121</v>
      </c>
      <c r="F18" s="102">
        <v>-4.8000000000000001E-2</v>
      </c>
      <c r="G18" s="102">
        <v>-0.13200000000000001</v>
      </c>
      <c r="J18" s="128" t="s">
        <v>560</v>
      </c>
      <c r="K18" s="142">
        <v>115664</v>
      </c>
      <c r="L18" s="142">
        <v>75668</v>
      </c>
      <c r="M18" s="142">
        <v>76669</v>
      </c>
      <c r="N18" s="143">
        <v>52541</v>
      </c>
      <c r="Q18" s="80" t="s">
        <v>556</v>
      </c>
      <c r="R18" s="91">
        <v>133.6</v>
      </c>
      <c r="S18" s="91">
        <v>136.6</v>
      </c>
      <c r="T18" s="91">
        <v>113.4</v>
      </c>
      <c r="U18" s="91">
        <v>97.2</v>
      </c>
      <c r="X18" s="80" t="s">
        <v>562</v>
      </c>
      <c r="Y18" s="112">
        <v>-51.43</v>
      </c>
      <c r="Z18" s="112">
        <v>-20.78</v>
      </c>
      <c r="AA18" s="112">
        <v>-10.53</v>
      </c>
      <c r="AB18" s="112">
        <v>-4.8099999999999996</v>
      </c>
    </row>
    <row r="19" spans="2:28" ht="16" thickBot="1">
      <c r="B19" s="100" t="s">
        <v>558</v>
      </c>
      <c r="C19" s="101" t="s">
        <v>1096</v>
      </c>
      <c r="D19" s="102">
        <v>-0.191</v>
      </c>
      <c r="E19" s="102">
        <v>-0.15</v>
      </c>
      <c r="F19" s="102">
        <v>-6.0999999999999999E-2</v>
      </c>
      <c r="G19" s="102" t="s">
        <v>49</v>
      </c>
      <c r="J19" s="128" t="s">
        <v>577</v>
      </c>
      <c r="K19" s="142">
        <v>15982</v>
      </c>
      <c r="L19" s="142">
        <v>13165</v>
      </c>
      <c r="M19" s="142">
        <v>8657</v>
      </c>
      <c r="N19" s="143">
        <v>6073</v>
      </c>
      <c r="Q19" s="82" t="s">
        <v>561</v>
      </c>
      <c r="R19" s="109">
        <v>119</v>
      </c>
      <c r="S19" s="109">
        <v>117.6</v>
      </c>
      <c r="T19" s="109">
        <v>105.9</v>
      </c>
      <c r="U19" s="109">
        <v>89.1</v>
      </c>
      <c r="X19" s="82" t="s">
        <v>567</v>
      </c>
      <c r="Y19" s="113">
        <v>-10.55</v>
      </c>
      <c r="Z19" s="113">
        <v>-8.99</v>
      </c>
      <c r="AA19" s="113">
        <v>1.46</v>
      </c>
      <c r="AB19" s="113">
        <v>-2.46</v>
      </c>
    </row>
    <row r="20" spans="2:28" ht="16" thickBot="1">
      <c r="B20" s="100" t="s">
        <v>563</v>
      </c>
      <c r="C20" s="101" t="s">
        <v>1097</v>
      </c>
      <c r="D20" s="104">
        <v>1.64</v>
      </c>
      <c r="E20" s="104">
        <v>1.52</v>
      </c>
      <c r="F20" s="104" t="s">
        <v>49</v>
      </c>
      <c r="G20" s="104" t="s">
        <v>49</v>
      </c>
      <c r="J20" s="135" t="s">
        <v>581</v>
      </c>
      <c r="K20" s="141" t="s">
        <v>533</v>
      </c>
      <c r="L20" s="141">
        <v>0</v>
      </c>
      <c r="M20" s="141">
        <v>1.8</v>
      </c>
      <c r="N20" s="141">
        <v>0</v>
      </c>
      <c r="Q20" s="82" t="s">
        <v>1098</v>
      </c>
      <c r="R20" s="109">
        <v>14.6</v>
      </c>
      <c r="S20" s="109">
        <v>15.8</v>
      </c>
      <c r="T20" s="109">
        <v>7.6</v>
      </c>
      <c r="U20" s="109">
        <v>8.1</v>
      </c>
      <c r="X20" s="82" t="s">
        <v>169</v>
      </c>
      <c r="Y20" s="113">
        <v>-39996</v>
      </c>
      <c r="Z20" s="113">
        <v>1001</v>
      </c>
      <c r="AA20" s="113">
        <v>-24129</v>
      </c>
      <c r="AB20" s="113">
        <v>4649</v>
      </c>
    </row>
    <row r="21" spans="2:28" ht="16" thickBot="1">
      <c r="B21" s="100" t="s">
        <v>568</v>
      </c>
      <c r="C21" s="101" t="s">
        <v>1099</v>
      </c>
      <c r="D21" s="102">
        <v>-0.30099999999999999</v>
      </c>
      <c r="E21" s="102">
        <v>-0.24199999999999999</v>
      </c>
      <c r="F21" s="102">
        <v>-0.10100000000000001</v>
      </c>
      <c r="G21" s="102" t="s">
        <v>49</v>
      </c>
      <c r="J21" s="82" t="s">
        <v>1100</v>
      </c>
      <c r="K21" s="109" t="s">
        <v>533</v>
      </c>
      <c r="L21" s="109">
        <v>0</v>
      </c>
      <c r="M21" s="109" t="s">
        <v>1101</v>
      </c>
      <c r="N21" s="109">
        <v>0</v>
      </c>
      <c r="Q21" s="82" t="s">
        <v>566</v>
      </c>
      <c r="R21" s="109" t="s">
        <v>533</v>
      </c>
      <c r="S21" s="109">
        <v>3.2</v>
      </c>
      <c r="T21" s="109" t="s">
        <v>533</v>
      </c>
      <c r="U21" s="109" t="s">
        <v>533</v>
      </c>
      <c r="X21" s="82" t="s">
        <v>577</v>
      </c>
      <c r="Y21" s="113">
        <v>-4.3600000000000003</v>
      </c>
      <c r="Z21" s="113">
        <v>-6.11</v>
      </c>
      <c r="AA21" s="113">
        <v>-1.5</v>
      </c>
      <c r="AB21" s="113">
        <v>-1.42</v>
      </c>
    </row>
    <row r="22" spans="2:28" ht="16" thickBot="1">
      <c r="B22" s="100" t="s">
        <v>572</v>
      </c>
      <c r="C22" s="101" t="s">
        <v>1102</v>
      </c>
      <c r="D22" s="104" t="s">
        <v>49</v>
      </c>
      <c r="E22" s="104" t="s">
        <v>49</v>
      </c>
      <c r="F22" s="104" t="s">
        <v>49</v>
      </c>
      <c r="G22" s="104" t="s">
        <v>49</v>
      </c>
      <c r="J22" s="125" t="s">
        <v>588</v>
      </c>
      <c r="K22" s="139">
        <v>189147</v>
      </c>
      <c r="L22" s="139">
        <v>213796</v>
      </c>
      <c r="M22" s="139">
        <v>173557</v>
      </c>
      <c r="N22" s="140">
        <v>167892</v>
      </c>
      <c r="Q22" s="128" t="s">
        <v>571</v>
      </c>
      <c r="R22" s="142">
        <v>6996</v>
      </c>
      <c r="S22" s="142">
        <v>7679</v>
      </c>
      <c r="T22" s="142">
        <v>5705</v>
      </c>
      <c r="U22" s="143">
        <v>5137</v>
      </c>
      <c r="X22" s="82" t="s">
        <v>307</v>
      </c>
      <c r="Y22" s="113">
        <v>-7.01</v>
      </c>
      <c r="Z22" s="113" t="s">
        <v>533</v>
      </c>
      <c r="AA22" s="113" t="s">
        <v>533</v>
      </c>
      <c r="AB22" s="113" t="s">
        <v>533</v>
      </c>
    </row>
    <row r="23" spans="2:28" ht="16" thickBot="1">
      <c r="B23" s="100" t="s">
        <v>57</v>
      </c>
      <c r="C23" s="101" t="s">
        <v>1103</v>
      </c>
      <c r="D23" s="102">
        <v>-0.30099999999999999</v>
      </c>
      <c r="E23" s="102">
        <v>-0.24299999999999999</v>
      </c>
      <c r="F23" s="102">
        <v>-0.10100000000000001</v>
      </c>
      <c r="G23" s="102" t="s">
        <v>49</v>
      </c>
      <c r="J23" s="124"/>
      <c r="K23" s="124"/>
      <c r="L23" s="124"/>
      <c r="M23" s="124"/>
      <c r="N23" s="124"/>
      <c r="Q23" s="135" t="s">
        <v>575</v>
      </c>
      <c r="R23" s="141">
        <v>1.7</v>
      </c>
      <c r="S23" s="141">
        <v>1.9</v>
      </c>
      <c r="T23" s="141">
        <v>2.6</v>
      </c>
      <c r="U23" s="141">
        <v>5.2</v>
      </c>
      <c r="X23" s="82" t="s">
        <v>579</v>
      </c>
      <c r="Y23" s="113">
        <v>10.4</v>
      </c>
      <c r="Z23" s="113">
        <v>-6.69</v>
      </c>
      <c r="AA23" s="113">
        <v>13.75</v>
      </c>
      <c r="AB23" s="113">
        <v>-5.16</v>
      </c>
    </row>
    <row r="24" spans="2:28" ht="16" thickBot="1">
      <c r="B24" s="100" t="s">
        <v>580</v>
      </c>
      <c r="C24" s="101" t="s">
        <v>1104</v>
      </c>
      <c r="D24" s="104" t="s">
        <v>49</v>
      </c>
      <c r="E24" s="104" t="s">
        <v>49</v>
      </c>
      <c r="F24" s="104" t="s">
        <v>49</v>
      </c>
      <c r="G24" s="104" t="s">
        <v>49</v>
      </c>
      <c r="J24" s="80" t="s">
        <v>594</v>
      </c>
      <c r="K24" s="91">
        <v>70101</v>
      </c>
      <c r="L24" s="91">
        <v>80720</v>
      </c>
      <c r="M24" s="91">
        <v>80494</v>
      </c>
      <c r="N24" s="91">
        <v>81478</v>
      </c>
      <c r="Q24" s="82" t="s">
        <v>538</v>
      </c>
      <c r="R24" s="109">
        <v>1.7</v>
      </c>
      <c r="S24" s="109">
        <v>1.9</v>
      </c>
      <c r="T24" s="109">
        <v>2.6</v>
      </c>
      <c r="U24" s="109">
        <v>5.2</v>
      </c>
      <c r="X24" s="82" t="s">
        <v>348</v>
      </c>
      <c r="Y24" s="113">
        <v>0.08</v>
      </c>
      <c r="Z24" s="113">
        <v>0.01</v>
      </c>
      <c r="AA24" s="113">
        <v>-0.11</v>
      </c>
      <c r="AB24" s="113">
        <v>-0.41</v>
      </c>
    </row>
    <row r="25" spans="2:28" ht="16" thickBot="1">
      <c r="B25" s="100" t="s">
        <v>583</v>
      </c>
      <c r="C25" s="101" t="s">
        <v>1105</v>
      </c>
      <c r="D25" s="102">
        <v>-0.30099999999999999</v>
      </c>
      <c r="E25" s="102" t="s">
        <v>49</v>
      </c>
      <c r="F25" s="102" t="s">
        <v>49</v>
      </c>
      <c r="G25" s="102" t="s">
        <v>49</v>
      </c>
      <c r="J25" s="82" t="s">
        <v>599</v>
      </c>
      <c r="K25" s="109">
        <v>15.8</v>
      </c>
      <c r="L25" s="109">
        <v>58</v>
      </c>
      <c r="M25" s="109">
        <v>58</v>
      </c>
      <c r="N25" s="109">
        <v>58</v>
      </c>
      <c r="Q25" s="84" t="s">
        <v>578</v>
      </c>
      <c r="R25" s="110">
        <v>871</v>
      </c>
      <c r="S25" s="110">
        <v>-1776</v>
      </c>
      <c r="T25" s="110">
        <v>-837</v>
      </c>
      <c r="U25" s="110">
        <v>429</v>
      </c>
      <c r="X25" s="125" t="s">
        <v>587</v>
      </c>
      <c r="Y25" s="160">
        <v>-76275</v>
      </c>
      <c r="Z25" s="160">
        <v>-38154</v>
      </c>
      <c r="AA25" s="160">
        <v>-12066</v>
      </c>
      <c r="AB25" s="161">
        <v>-19992</v>
      </c>
    </row>
    <row r="26" spans="2:28" ht="16" thickBot="1">
      <c r="B26" s="98" t="s">
        <v>71</v>
      </c>
      <c r="C26" s="79"/>
      <c r="D26" s="99"/>
      <c r="E26" s="99"/>
      <c r="F26" s="99"/>
      <c r="G26" s="99"/>
      <c r="J26" s="82" t="s">
        <v>607</v>
      </c>
      <c r="K26" s="109">
        <v>20</v>
      </c>
      <c r="L26" s="109">
        <v>18.399999999999999</v>
      </c>
      <c r="M26" s="109">
        <v>18.3</v>
      </c>
      <c r="N26" s="109">
        <v>19.3</v>
      </c>
      <c r="Q26" s="84" t="s">
        <v>589</v>
      </c>
      <c r="R26" s="110" t="s">
        <v>533</v>
      </c>
      <c r="S26" s="110" t="s">
        <v>533</v>
      </c>
      <c r="T26" s="110" t="s">
        <v>533</v>
      </c>
      <c r="U26" s="110" t="s">
        <v>533</v>
      </c>
      <c r="X26" s="124"/>
      <c r="Y26" s="124"/>
      <c r="Z26" s="124"/>
      <c r="AA26" s="124"/>
      <c r="AB26" s="124"/>
    </row>
    <row r="27" spans="2:28" ht="16" thickBot="1">
      <c r="B27" s="100" t="s">
        <v>11</v>
      </c>
      <c r="C27" s="101" t="s">
        <v>1106</v>
      </c>
      <c r="D27" s="104">
        <v>1.1599999999999999</v>
      </c>
      <c r="E27" s="104">
        <v>2.85</v>
      </c>
      <c r="F27" s="104">
        <v>1.79</v>
      </c>
      <c r="G27" s="104">
        <v>2.98</v>
      </c>
      <c r="J27" s="82" t="s">
        <v>616</v>
      </c>
      <c r="K27" s="109">
        <v>34.299999999999997</v>
      </c>
      <c r="L27" s="109">
        <v>4.3</v>
      </c>
      <c r="M27" s="109">
        <v>4.2</v>
      </c>
      <c r="N27" s="109">
        <v>4.2</v>
      </c>
      <c r="Q27" s="84" t="s">
        <v>600</v>
      </c>
      <c r="R27" s="110" t="s">
        <v>533</v>
      </c>
      <c r="S27" s="110" t="s">
        <v>533</v>
      </c>
      <c r="T27" s="110" t="s">
        <v>533</v>
      </c>
      <c r="U27" s="110" t="s">
        <v>533</v>
      </c>
      <c r="X27" s="79" t="s">
        <v>592</v>
      </c>
      <c r="Y27" s="79"/>
      <c r="Z27" s="79"/>
      <c r="AA27" s="79"/>
      <c r="AB27" s="79"/>
    </row>
    <row r="28" spans="2:28" ht="16" thickBot="1">
      <c r="B28" s="100" t="s">
        <v>9</v>
      </c>
      <c r="C28" s="101" t="s">
        <v>1107</v>
      </c>
      <c r="D28" s="104">
        <v>2.97</v>
      </c>
      <c r="E28" s="104">
        <v>4.41</v>
      </c>
      <c r="F28" s="104">
        <v>3.21</v>
      </c>
      <c r="G28" s="104">
        <v>4.34</v>
      </c>
      <c r="J28" s="80" t="s">
        <v>621</v>
      </c>
      <c r="K28" s="91">
        <v>44.3</v>
      </c>
      <c r="L28" s="91">
        <v>53</v>
      </c>
      <c r="M28" s="91">
        <v>56703</v>
      </c>
      <c r="N28" s="91">
        <v>61224</v>
      </c>
      <c r="Q28" s="84" t="s">
        <v>605</v>
      </c>
      <c r="R28" s="110" t="s">
        <v>533</v>
      </c>
      <c r="S28" s="110" t="s">
        <v>533</v>
      </c>
      <c r="T28" s="110" t="s">
        <v>533</v>
      </c>
      <c r="U28" s="110" t="s">
        <v>533</v>
      </c>
      <c r="X28" s="80" t="s">
        <v>596</v>
      </c>
      <c r="Y28" s="112">
        <v>-1.62</v>
      </c>
      <c r="Z28" s="112">
        <v>-0.22</v>
      </c>
      <c r="AA28" s="112">
        <v>-0.2</v>
      </c>
      <c r="AB28" s="112">
        <v>-0.66</v>
      </c>
    </row>
    <row r="29" spans="2:28" ht="16" thickBot="1">
      <c r="B29" s="100" t="s">
        <v>597</v>
      </c>
      <c r="C29" s="101" t="s">
        <v>1108</v>
      </c>
      <c r="D29" s="105">
        <v>-7111.4</v>
      </c>
      <c r="E29" s="105" t="s">
        <v>49</v>
      </c>
      <c r="F29" s="105" t="s">
        <v>49</v>
      </c>
      <c r="G29" s="105" t="s">
        <v>49</v>
      </c>
      <c r="J29" s="82" t="s">
        <v>626</v>
      </c>
      <c r="K29" s="109">
        <v>-25827</v>
      </c>
      <c r="L29" s="109">
        <v>-27768</v>
      </c>
      <c r="M29" s="109">
        <v>-23.8</v>
      </c>
      <c r="N29" s="109">
        <v>-20.3</v>
      </c>
      <c r="Q29" s="84" t="s">
        <v>608</v>
      </c>
      <c r="R29" s="110" t="s">
        <v>533</v>
      </c>
      <c r="S29" s="110" t="s">
        <v>533</v>
      </c>
      <c r="T29" s="110" t="s">
        <v>533</v>
      </c>
      <c r="U29" s="110" t="s">
        <v>533</v>
      </c>
      <c r="X29" s="82" t="s">
        <v>601</v>
      </c>
      <c r="Y29" s="113">
        <v>-1617</v>
      </c>
      <c r="Z29" s="113">
        <v>-220</v>
      </c>
      <c r="AA29" s="113">
        <v>-200</v>
      </c>
      <c r="AB29" s="113">
        <v>-661</v>
      </c>
    </row>
    <row r="30" spans="2:28" ht="16" thickBot="1">
      <c r="B30" s="100" t="s">
        <v>602</v>
      </c>
      <c r="C30" s="101" t="s">
        <v>1109</v>
      </c>
      <c r="D30" s="105">
        <v>157.19999999999999</v>
      </c>
      <c r="E30" s="105">
        <v>112.1</v>
      </c>
      <c r="F30" s="105">
        <v>102.1</v>
      </c>
      <c r="G30" s="105" t="s">
        <v>49</v>
      </c>
      <c r="J30" s="128" t="s">
        <v>630</v>
      </c>
      <c r="K30" s="142">
        <v>2230</v>
      </c>
      <c r="L30" s="142">
        <v>2230</v>
      </c>
      <c r="M30" s="142">
        <v>23791</v>
      </c>
      <c r="N30" s="143">
        <v>20254</v>
      </c>
      <c r="Q30" s="84" t="s">
        <v>636</v>
      </c>
      <c r="R30" s="110" t="s">
        <v>533</v>
      </c>
      <c r="S30" s="110" t="s">
        <v>533</v>
      </c>
      <c r="T30" s="110" t="s">
        <v>533</v>
      </c>
      <c r="U30" s="110" t="s">
        <v>533</v>
      </c>
      <c r="X30" s="80" t="s">
        <v>606</v>
      </c>
      <c r="Y30" s="112">
        <v>36.58</v>
      </c>
      <c r="Z30" s="112">
        <v>-8.4</v>
      </c>
      <c r="AA30" s="112">
        <v>36.9</v>
      </c>
      <c r="AB30" s="112">
        <v>11.67</v>
      </c>
    </row>
    <row r="31" spans="2:28" ht="16" thickBot="1">
      <c r="B31" s="98" t="s">
        <v>77</v>
      </c>
      <c r="C31" s="79"/>
      <c r="D31" s="99"/>
      <c r="E31" s="99"/>
      <c r="F31" s="99"/>
      <c r="G31" s="99"/>
      <c r="J31" s="135" t="s">
        <v>635</v>
      </c>
      <c r="K31" s="141">
        <v>0.4</v>
      </c>
      <c r="L31" s="141">
        <v>0.4</v>
      </c>
      <c r="M31" s="141">
        <v>0.5</v>
      </c>
      <c r="N31" s="141">
        <v>0.6</v>
      </c>
      <c r="Q31" s="128" t="s">
        <v>645</v>
      </c>
      <c r="R31" s="142">
        <v>142095</v>
      </c>
      <c r="S31" s="142">
        <v>145998</v>
      </c>
      <c r="T31" s="142">
        <v>121436</v>
      </c>
      <c r="U31" s="143" t="s">
        <v>1110</v>
      </c>
      <c r="X31" s="82" t="s">
        <v>618</v>
      </c>
      <c r="Y31" s="113">
        <v>49.36</v>
      </c>
      <c r="Z31" s="113">
        <v>56.86</v>
      </c>
      <c r="AA31" s="113">
        <v>59.36</v>
      </c>
      <c r="AB31" s="113">
        <v>86.1</v>
      </c>
    </row>
    <row r="32" spans="2:28" ht="16" thickBot="1">
      <c r="B32" s="100" t="s">
        <v>610</v>
      </c>
      <c r="C32" s="101" t="s">
        <v>1097</v>
      </c>
      <c r="D32" s="104">
        <v>1.64</v>
      </c>
      <c r="E32" s="104">
        <v>1.52</v>
      </c>
      <c r="F32" s="104" t="s">
        <v>49</v>
      </c>
      <c r="G32" s="104" t="s">
        <v>49</v>
      </c>
      <c r="J32" s="82" t="s">
        <v>640</v>
      </c>
      <c r="K32" s="109">
        <v>1.1000000000000001</v>
      </c>
      <c r="L32" s="109">
        <v>1.1000000000000001</v>
      </c>
      <c r="M32" s="109">
        <v>1.1000000000000001</v>
      </c>
      <c r="N32" s="109">
        <v>1.1000000000000001</v>
      </c>
      <c r="Q32" s="156" t="s">
        <v>180</v>
      </c>
      <c r="R32" s="157">
        <v>-49780</v>
      </c>
      <c r="S32" s="157">
        <v>-36826</v>
      </c>
      <c r="T32" s="157">
        <v>-13540</v>
      </c>
      <c r="U32" s="158">
        <v>-31457</v>
      </c>
      <c r="X32" s="82" t="s">
        <v>628</v>
      </c>
      <c r="Y32" s="113">
        <v>-12782</v>
      </c>
      <c r="Z32" s="113">
        <v>-65267</v>
      </c>
      <c r="AA32" s="113">
        <v>-22462</v>
      </c>
      <c r="AB32" s="113">
        <v>-74433</v>
      </c>
    </row>
    <row r="33" spans="2:28" ht="16" thickBot="1">
      <c r="B33" s="100" t="s">
        <v>614</v>
      </c>
      <c r="C33" s="101" t="s">
        <v>1111</v>
      </c>
      <c r="D33" s="104">
        <v>0</v>
      </c>
      <c r="E33" s="104">
        <v>0</v>
      </c>
      <c r="F33" s="104" t="s">
        <v>49</v>
      </c>
      <c r="G33" s="104" t="s">
        <v>49</v>
      </c>
      <c r="J33" s="82" t="s">
        <v>644</v>
      </c>
      <c r="K33" s="109">
        <v>-0.7</v>
      </c>
      <c r="L33" s="109">
        <v>-0.6</v>
      </c>
      <c r="M33" s="109">
        <v>-0.5</v>
      </c>
      <c r="N33" s="109">
        <v>-0.5</v>
      </c>
      <c r="Q33" s="135" t="s">
        <v>654</v>
      </c>
      <c r="R33" s="141">
        <v>0</v>
      </c>
      <c r="S33" s="141" t="s">
        <v>533</v>
      </c>
      <c r="T33" s="141" t="s">
        <v>533</v>
      </c>
      <c r="U33" s="141" t="s">
        <v>533</v>
      </c>
      <c r="X33" s="125" t="s">
        <v>637</v>
      </c>
      <c r="Y33" s="160">
        <v>34963</v>
      </c>
      <c r="Z33" s="160">
        <v>-8623</v>
      </c>
      <c r="AA33" s="160">
        <v>36696</v>
      </c>
      <c r="AB33" s="161">
        <v>11007</v>
      </c>
    </row>
    <row r="34" spans="2:28" ht="16" thickBot="1">
      <c r="B34" s="100" t="s">
        <v>619</v>
      </c>
      <c r="C34" s="101" t="s">
        <v>1112</v>
      </c>
      <c r="D34" s="102">
        <v>0</v>
      </c>
      <c r="E34" s="102">
        <v>0</v>
      </c>
      <c r="F34" s="102">
        <v>0</v>
      </c>
      <c r="G34" s="102">
        <v>0</v>
      </c>
      <c r="J34" s="84" t="s">
        <v>649</v>
      </c>
      <c r="K34" s="110" t="s">
        <v>533</v>
      </c>
      <c r="L34" s="110" t="s">
        <v>533</v>
      </c>
      <c r="M34" s="110" t="s">
        <v>533</v>
      </c>
      <c r="N34" s="110" t="s">
        <v>533</v>
      </c>
      <c r="Q34" s="82" t="s">
        <v>1113</v>
      </c>
      <c r="R34" s="109">
        <v>0</v>
      </c>
      <c r="S34" s="109" t="s">
        <v>533</v>
      </c>
      <c r="T34" s="109" t="s">
        <v>533</v>
      </c>
      <c r="U34" s="109" t="s">
        <v>533</v>
      </c>
      <c r="X34" s="124"/>
      <c r="Y34" s="124"/>
      <c r="Z34" s="124"/>
      <c r="AA34" s="124"/>
      <c r="AB34" s="124"/>
    </row>
    <row r="35" spans="2:28" ht="16" thickBot="1">
      <c r="B35" s="100" t="s">
        <v>624</v>
      </c>
      <c r="C35" s="101" t="s">
        <v>1114</v>
      </c>
      <c r="D35" s="104" t="s">
        <v>49</v>
      </c>
      <c r="E35" s="104" t="s">
        <v>49</v>
      </c>
      <c r="F35" s="104" t="s">
        <v>49</v>
      </c>
      <c r="G35" s="104" t="s">
        <v>49</v>
      </c>
      <c r="J35" s="84" t="s">
        <v>657</v>
      </c>
      <c r="K35" s="110" t="s">
        <v>533</v>
      </c>
      <c r="L35" s="110" t="s">
        <v>533</v>
      </c>
      <c r="M35" s="110" t="s">
        <v>533</v>
      </c>
      <c r="N35" s="110" t="s">
        <v>533</v>
      </c>
      <c r="Q35" s="80" t="s">
        <v>658</v>
      </c>
      <c r="R35" s="91">
        <v>-0.2</v>
      </c>
      <c r="S35" s="91">
        <v>-0.1</v>
      </c>
      <c r="T35" s="91" t="s">
        <v>533</v>
      </c>
      <c r="U35" s="91" t="s">
        <v>533</v>
      </c>
      <c r="X35" s="79" t="s">
        <v>646</v>
      </c>
      <c r="Y35" s="79"/>
      <c r="Z35" s="79"/>
      <c r="AA35" s="79"/>
      <c r="AB35" s="79"/>
    </row>
    <row r="36" spans="2:28" ht="16" thickBot="1">
      <c r="B36" s="98" t="s">
        <v>629</v>
      </c>
      <c r="C36" s="79"/>
      <c r="D36" s="99"/>
      <c r="E36" s="99"/>
      <c r="F36" s="99"/>
      <c r="G36" s="99"/>
      <c r="J36" s="80" t="s">
        <v>661</v>
      </c>
      <c r="K36" s="91">
        <v>4.5999999999999996</v>
      </c>
      <c r="L36" s="91">
        <v>3.2</v>
      </c>
      <c r="M36" s="91">
        <v>7.7</v>
      </c>
      <c r="N36" s="91">
        <v>2.1</v>
      </c>
      <c r="Q36" s="82" t="s">
        <v>1115</v>
      </c>
      <c r="R36" s="109">
        <v>-0.2</v>
      </c>
      <c r="S36" s="109">
        <v>-0.1</v>
      </c>
      <c r="T36" s="109" t="s">
        <v>533</v>
      </c>
      <c r="U36" s="109" t="s">
        <v>533</v>
      </c>
      <c r="X36" s="80" t="s">
        <v>650</v>
      </c>
      <c r="Y36" s="112">
        <v>0.22</v>
      </c>
      <c r="Z36" s="112">
        <v>-5.75</v>
      </c>
      <c r="AA36" s="112" t="s">
        <v>533</v>
      </c>
      <c r="AB36" s="112" t="s">
        <v>533</v>
      </c>
    </row>
    <row r="37" spans="2:28" ht="16" thickBot="1">
      <c r="B37" s="100" t="s">
        <v>633</v>
      </c>
      <c r="C37" s="101" t="s">
        <v>1116</v>
      </c>
      <c r="D37" s="105">
        <v>8.5</v>
      </c>
      <c r="E37" s="105">
        <v>11.7</v>
      </c>
      <c r="F37" s="105">
        <v>12.8</v>
      </c>
      <c r="G37" s="105" t="s">
        <v>49</v>
      </c>
      <c r="J37" s="82" t="s">
        <v>1117</v>
      </c>
      <c r="K37" s="109" t="s">
        <v>533</v>
      </c>
      <c r="L37" s="109">
        <v>0</v>
      </c>
      <c r="M37" s="109">
        <v>6.2</v>
      </c>
      <c r="N37" s="109">
        <v>0</v>
      </c>
      <c r="Q37" s="84" t="s">
        <v>662</v>
      </c>
      <c r="R37" s="110">
        <v>1.1000000000000001</v>
      </c>
      <c r="S37" s="110">
        <v>-1.7</v>
      </c>
      <c r="T37" s="110">
        <v>-0.8</v>
      </c>
      <c r="U37" s="110">
        <v>0.4</v>
      </c>
      <c r="X37" s="82" t="s">
        <v>655</v>
      </c>
      <c r="Y37" s="113">
        <v>0.22</v>
      </c>
      <c r="Z37" s="113">
        <v>-5.75</v>
      </c>
      <c r="AA37" s="113" t="s">
        <v>533</v>
      </c>
      <c r="AB37" s="113" t="s">
        <v>533</v>
      </c>
    </row>
    <row r="38" spans="2:28" ht="16" thickBot="1">
      <c r="B38" s="100" t="s">
        <v>638</v>
      </c>
      <c r="C38" s="101" t="s">
        <v>1118</v>
      </c>
      <c r="D38" s="105">
        <v>43.2</v>
      </c>
      <c r="E38" s="105">
        <v>31.3</v>
      </c>
      <c r="F38" s="105">
        <v>28.7</v>
      </c>
      <c r="G38" s="105" t="s">
        <v>49</v>
      </c>
      <c r="J38" s="82" t="s">
        <v>680</v>
      </c>
      <c r="K38" s="109">
        <v>4.5999999999999996</v>
      </c>
      <c r="L38" s="109">
        <v>3.2</v>
      </c>
      <c r="M38" s="109">
        <v>1.5</v>
      </c>
      <c r="N38" s="109">
        <v>2.1</v>
      </c>
      <c r="Q38" s="84" t="s">
        <v>667</v>
      </c>
      <c r="R38" s="110">
        <v>0.9</v>
      </c>
      <c r="S38" s="110">
        <v>-1.8</v>
      </c>
      <c r="T38" s="110">
        <v>-0.8</v>
      </c>
      <c r="U38" s="110">
        <v>0.4</v>
      </c>
      <c r="X38" s="80" t="s">
        <v>659</v>
      </c>
      <c r="Y38" s="112">
        <v>0</v>
      </c>
      <c r="Z38" s="112">
        <v>-35</v>
      </c>
      <c r="AA38" s="112" t="s">
        <v>533</v>
      </c>
      <c r="AB38" s="112" t="s">
        <v>533</v>
      </c>
    </row>
    <row r="39" spans="2:28" ht="16" thickBot="1">
      <c r="B39" s="100" t="s">
        <v>642</v>
      </c>
      <c r="C39" s="101" t="s">
        <v>1119</v>
      </c>
      <c r="D39" s="105">
        <v>2.2999999999999998</v>
      </c>
      <c r="E39" s="105">
        <v>2.8</v>
      </c>
      <c r="F39" s="105">
        <v>3</v>
      </c>
      <c r="G39" s="105" t="s">
        <v>49</v>
      </c>
      <c r="J39" s="125" t="s">
        <v>200</v>
      </c>
      <c r="K39" s="139">
        <v>240599</v>
      </c>
      <c r="L39" s="139">
        <v>272597</v>
      </c>
      <c r="M39" s="139">
        <v>240732</v>
      </c>
      <c r="N39" s="140">
        <v>234022</v>
      </c>
      <c r="Q39" s="84" t="s">
        <v>672</v>
      </c>
      <c r="R39" s="110" t="s">
        <v>533</v>
      </c>
      <c r="S39" s="110" t="s">
        <v>533</v>
      </c>
      <c r="T39" s="110" t="s">
        <v>533</v>
      </c>
      <c r="U39" s="110" t="s">
        <v>533</v>
      </c>
      <c r="X39" s="82" t="s">
        <v>663</v>
      </c>
      <c r="Y39" s="113">
        <v>0</v>
      </c>
      <c r="Z39" s="113">
        <v>-35</v>
      </c>
      <c r="AA39" s="113" t="s">
        <v>533</v>
      </c>
      <c r="AB39" s="113" t="s">
        <v>533</v>
      </c>
    </row>
    <row r="40" spans="2:28" ht="16" thickBot="1">
      <c r="B40" s="100" t="s">
        <v>647</v>
      </c>
      <c r="C40" s="101" t="s">
        <v>1120</v>
      </c>
      <c r="D40" s="105">
        <v>158.19999999999999</v>
      </c>
      <c r="E40" s="105">
        <v>133.1</v>
      </c>
      <c r="F40" s="105">
        <v>122.8</v>
      </c>
      <c r="G40" s="105" t="s">
        <v>49</v>
      </c>
      <c r="J40" s="124"/>
      <c r="K40" s="124"/>
      <c r="L40" s="124"/>
      <c r="M40" s="124"/>
      <c r="N40" s="124"/>
      <c r="Q40" s="84" t="s">
        <v>641</v>
      </c>
      <c r="R40" s="110" t="s">
        <v>533</v>
      </c>
      <c r="S40" s="110" t="s">
        <v>533</v>
      </c>
      <c r="T40" s="110" t="s">
        <v>533</v>
      </c>
      <c r="U40" s="110" t="s">
        <v>533</v>
      </c>
      <c r="X40" s="80" t="s">
        <v>668</v>
      </c>
      <c r="Y40" s="112">
        <v>0.12</v>
      </c>
      <c r="Z40" s="112">
        <v>102.25</v>
      </c>
      <c r="AA40" s="112">
        <v>0.04</v>
      </c>
      <c r="AB40" s="112">
        <v>-0.03</v>
      </c>
    </row>
    <row r="41" spans="2:28" ht="16" thickBot="1">
      <c r="B41" s="100" t="s">
        <v>651</v>
      </c>
      <c r="C41" s="101" t="s">
        <v>1121</v>
      </c>
      <c r="D41" s="105">
        <v>44.2</v>
      </c>
      <c r="E41" s="105">
        <v>52.3</v>
      </c>
      <c r="F41" s="105">
        <v>49.3</v>
      </c>
      <c r="G41" s="105" t="s">
        <v>49</v>
      </c>
      <c r="J41" s="79" t="s">
        <v>686</v>
      </c>
      <c r="K41" s="79"/>
      <c r="L41" s="79"/>
      <c r="M41" s="79"/>
      <c r="N41" s="79"/>
      <c r="Q41" s="84" t="s">
        <v>682</v>
      </c>
      <c r="R41" s="110">
        <v>-48909</v>
      </c>
      <c r="S41" s="110">
        <v>-38602</v>
      </c>
      <c r="T41" s="110">
        <v>-14377</v>
      </c>
      <c r="U41" s="110">
        <v>-31028</v>
      </c>
      <c r="X41" s="82" t="s">
        <v>1122</v>
      </c>
      <c r="Y41" s="113">
        <v>0</v>
      </c>
      <c r="Z41" s="113">
        <v>96.52</v>
      </c>
      <c r="AA41" s="113" t="s">
        <v>533</v>
      </c>
      <c r="AB41" s="113" t="s">
        <v>533</v>
      </c>
    </row>
    <row r="42" spans="2:28" ht="16" thickBot="1">
      <c r="B42" s="100" t="s">
        <v>86</v>
      </c>
      <c r="C42" s="101" t="s">
        <v>1123</v>
      </c>
      <c r="D42" s="104">
        <v>6.45</v>
      </c>
      <c r="E42" s="104">
        <v>5.81</v>
      </c>
      <c r="F42" s="104">
        <v>5.0999999999999996</v>
      </c>
      <c r="G42" s="104" t="s">
        <v>49</v>
      </c>
      <c r="J42" s="84" t="s">
        <v>304</v>
      </c>
      <c r="K42" s="110">
        <v>24755</v>
      </c>
      <c r="L42" s="110">
        <v>28743</v>
      </c>
      <c r="M42" s="110">
        <v>31132</v>
      </c>
      <c r="N42" s="110">
        <v>20775</v>
      </c>
      <c r="Q42" s="84" t="s">
        <v>684</v>
      </c>
      <c r="R42" s="110">
        <v>0.1</v>
      </c>
      <c r="S42" s="110">
        <v>0.1</v>
      </c>
      <c r="T42" s="110">
        <v>0.1</v>
      </c>
      <c r="U42" s="110">
        <v>0.1</v>
      </c>
      <c r="X42" s="82" t="s">
        <v>681</v>
      </c>
      <c r="Y42" s="113">
        <v>0</v>
      </c>
      <c r="Z42" s="113">
        <v>96.52</v>
      </c>
      <c r="AA42" s="113" t="s">
        <v>533</v>
      </c>
      <c r="AB42" s="113" t="s">
        <v>533</v>
      </c>
    </row>
    <row r="43" spans="2:28" ht="16" thickBot="1">
      <c r="B43" s="100" t="s">
        <v>660</v>
      </c>
      <c r="C43" s="103" t="s">
        <v>1124</v>
      </c>
      <c r="D43" s="102">
        <v>1.7000000000000001E-2</v>
      </c>
      <c r="E43" s="102">
        <v>3.3000000000000002E-2</v>
      </c>
      <c r="F43" s="102" t="s">
        <v>49</v>
      </c>
      <c r="G43" s="102" t="s">
        <v>49</v>
      </c>
      <c r="J43" s="84" t="s">
        <v>579</v>
      </c>
      <c r="K43" s="110" t="s">
        <v>533</v>
      </c>
      <c r="L43" s="110" t="s">
        <v>533</v>
      </c>
      <c r="M43" s="110" t="s">
        <v>533</v>
      </c>
      <c r="N43" s="110" t="s">
        <v>533</v>
      </c>
      <c r="Q43" s="84" t="s">
        <v>687</v>
      </c>
      <c r="R43" s="110">
        <v>-49</v>
      </c>
      <c r="S43" s="110">
        <v>-38.700000000000003</v>
      </c>
      <c r="T43" s="110">
        <v>-14.5</v>
      </c>
      <c r="U43" s="110">
        <v>-31.1</v>
      </c>
      <c r="X43" s="82" t="s">
        <v>1125</v>
      </c>
      <c r="Y43" s="113" t="s">
        <v>533</v>
      </c>
      <c r="Z43" s="113">
        <v>0</v>
      </c>
      <c r="AA43" s="113">
        <v>0</v>
      </c>
      <c r="AB43" s="113">
        <v>-0.28999999999999998</v>
      </c>
    </row>
    <row r="44" spans="2:28" ht="16" thickBot="1">
      <c r="B44" s="100" t="s">
        <v>664</v>
      </c>
      <c r="C44" s="101" t="s">
        <v>1126</v>
      </c>
      <c r="D44" s="102">
        <v>1.2E-2</v>
      </c>
      <c r="E44" s="102">
        <v>6.0000000000000001E-3</v>
      </c>
      <c r="F44" s="102">
        <v>6.0999999999999999E-2</v>
      </c>
      <c r="G44" s="102" t="s">
        <v>49</v>
      </c>
      <c r="J44" s="84" t="s">
        <v>307</v>
      </c>
      <c r="K44" s="110">
        <v>38</v>
      </c>
      <c r="L44" s="110">
        <v>19</v>
      </c>
      <c r="M44" s="110">
        <v>22.2</v>
      </c>
      <c r="N44" s="110">
        <v>17.100000000000001</v>
      </c>
      <c r="Q44" s="84" t="s">
        <v>689</v>
      </c>
      <c r="R44" s="110" t="s">
        <v>533</v>
      </c>
      <c r="S44" s="110" t="s">
        <v>533</v>
      </c>
      <c r="T44" s="110" t="s">
        <v>533</v>
      </c>
      <c r="U44" s="110" t="s">
        <v>533</v>
      </c>
      <c r="X44" s="82" t="s">
        <v>683</v>
      </c>
      <c r="Y44" s="113">
        <v>0.12</v>
      </c>
      <c r="Z44" s="113">
        <v>5.73</v>
      </c>
      <c r="AA44" s="113">
        <v>0.04</v>
      </c>
      <c r="AB44" s="113">
        <v>0.25</v>
      </c>
    </row>
    <row r="45" spans="2:28" ht="16" thickBot="1">
      <c r="B45" s="100" t="s">
        <v>669</v>
      </c>
      <c r="C45" s="101" t="s">
        <v>670</v>
      </c>
      <c r="D45" s="102">
        <v>-0.24399999999999999</v>
      </c>
      <c r="E45" s="102">
        <v>-0.188</v>
      </c>
      <c r="F45" s="102">
        <v>-7.5999999999999998E-2</v>
      </c>
      <c r="G45" s="102" t="s">
        <v>49</v>
      </c>
      <c r="J45" s="84" t="s">
        <v>695</v>
      </c>
      <c r="K45" s="110">
        <v>0</v>
      </c>
      <c r="L45" s="110">
        <v>0</v>
      </c>
      <c r="M45" s="110">
        <v>0</v>
      </c>
      <c r="N45" s="110">
        <v>0</v>
      </c>
      <c r="Q45" s="84" t="s">
        <v>691</v>
      </c>
      <c r="R45" s="110" t="s">
        <v>533</v>
      </c>
      <c r="S45" s="110" t="s">
        <v>533</v>
      </c>
      <c r="T45" s="110" t="s">
        <v>533</v>
      </c>
      <c r="U45" s="110" t="s">
        <v>533</v>
      </c>
      <c r="X45" s="80" t="s">
        <v>685</v>
      </c>
      <c r="Y45" s="112">
        <v>-0.3</v>
      </c>
      <c r="Z45" s="112">
        <v>-1.1299999999999999</v>
      </c>
      <c r="AA45" s="112">
        <v>-1.01</v>
      </c>
      <c r="AB45" s="112">
        <v>-0.27</v>
      </c>
    </row>
    <row r="46" spans="2:28" ht="16" thickBot="1">
      <c r="B46" s="100" t="s">
        <v>674</v>
      </c>
      <c r="C46" s="101" t="s">
        <v>670</v>
      </c>
      <c r="D46" s="70" t="s">
        <v>1127</v>
      </c>
      <c r="E46" s="70" t="s">
        <v>1128</v>
      </c>
      <c r="F46" s="70" t="s">
        <v>49</v>
      </c>
      <c r="G46" s="70" t="s">
        <v>49</v>
      </c>
      <c r="J46" s="84" t="s">
        <v>698</v>
      </c>
      <c r="K46" s="110">
        <v>0.1</v>
      </c>
      <c r="L46" s="110" t="s">
        <v>533</v>
      </c>
      <c r="M46" s="110" t="s">
        <v>533</v>
      </c>
      <c r="N46" s="110" t="s">
        <v>533</v>
      </c>
      <c r="Q46" s="84" t="s">
        <v>693</v>
      </c>
      <c r="R46" s="110" t="s">
        <v>533</v>
      </c>
      <c r="S46" s="110" t="s">
        <v>533</v>
      </c>
      <c r="T46" s="110" t="s">
        <v>533</v>
      </c>
      <c r="U46" s="110" t="s">
        <v>533</v>
      </c>
      <c r="X46" s="82" t="s">
        <v>697</v>
      </c>
      <c r="Y46" s="113">
        <v>-0.3</v>
      </c>
      <c r="Z46" s="113">
        <v>-1.1299999999999999</v>
      </c>
      <c r="AA46" s="113">
        <v>-1.01</v>
      </c>
      <c r="AB46" s="113">
        <v>-0.27</v>
      </c>
    </row>
    <row r="47" spans="2:28" ht="16" thickBot="1">
      <c r="J47" s="80" t="s">
        <v>700</v>
      </c>
      <c r="K47" s="91">
        <v>0.8</v>
      </c>
      <c r="L47" s="91">
        <v>0.7</v>
      </c>
      <c r="M47" s="91">
        <v>0.7</v>
      </c>
      <c r="N47" s="91">
        <v>0.8</v>
      </c>
      <c r="Q47" s="84" t="s">
        <v>696</v>
      </c>
      <c r="R47" s="110">
        <v>-49</v>
      </c>
      <c r="S47" s="110">
        <v>-38.700000000000003</v>
      </c>
      <c r="T47" s="110">
        <v>-14.5</v>
      </c>
      <c r="U47" s="110">
        <v>-31.1</v>
      </c>
      <c r="X47" s="82" t="s">
        <v>699</v>
      </c>
      <c r="Y47" s="113">
        <v>-0.3</v>
      </c>
      <c r="Z47" s="113">
        <v>-1.1299999999999999</v>
      </c>
      <c r="AA47" s="113">
        <v>-1.01</v>
      </c>
      <c r="AB47" s="113">
        <v>-0.27</v>
      </c>
    </row>
    <row r="48" spans="2:28" ht="16" thickBot="1">
      <c r="J48" s="82" t="s">
        <v>1129</v>
      </c>
      <c r="K48" s="109">
        <v>0.8</v>
      </c>
      <c r="L48" s="109">
        <v>0.7</v>
      </c>
      <c r="M48" s="109">
        <v>0.7</v>
      </c>
      <c r="N48" s="109">
        <v>0.8</v>
      </c>
      <c r="Q48" s="86"/>
      <c r="R48" s="86"/>
      <c r="S48" s="86"/>
      <c r="T48" s="86"/>
      <c r="U48" s="86"/>
      <c r="X48" s="84" t="s">
        <v>702</v>
      </c>
      <c r="Y48" s="88">
        <v>0.04</v>
      </c>
      <c r="Z48" s="88">
        <v>60.37</v>
      </c>
      <c r="AA48" s="88">
        <v>-0.97</v>
      </c>
      <c r="AB48" s="88">
        <v>-0.31</v>
      </c>
    </row>
    <row r="49" spans="10:28" ht="16" thickBot="1">
      <c r="J49" s="125" t="s">
        <v>708</v>
      </c>
      <c r="K49" s="139">
        <v>63580</v>
      </c>
      <c r="L49" s="139">
        <v>48477</v>
      </c>
      <c r="M49" s="139">
        <v>54070</v>
      </c>
      <c r="N49" s="140">
        <v>38690</v>
      </c>
      <c r="Q49" s="84" t="s">
        <v>701</v>
      </c>
      <c r="R49" s="110" t="s">
        <v>533</v>
      </c>
      <c r="S49" s="110" t="s">
        <v>533</v>
      </c>
      <c r="T49" s="110" t="s">
        <v>533</v>
      </c>
      <c r="U49" s="110" t="s">
        <v>533</v>
      </c>
      <c r="X49" s="86"/>
      <c r="Y49" s="86"/>
      <c r="Z49" s="86"/>
      <c r="AA49" s="86"/>
      <c r="AB49" s="86"/>
    </row>
    <row r="50" spans="10:28" ht="16" thickBot="1">
      <c r="J50" s="124"/>
      <c r="K50" s="124"/>
      <c r="L50" s="124"/>
      <c r="M50" s="124"/>
      <c r="N50" s="124"/>
      <c r="Q50" s="84" t="s">
        <v>704</v>
      </c>
      <c r="R50" s="110" t="s">
        <v>533</v>
      </c>
      <c r="S50" s="110" t="s">
        <v>533</v>
      </c>
      <c r="T50" s="110" t="s">
        <v>533</v>
      </c>
      <c r="U50" s="110" t="s">
        <v>533</v>
      </c>
      <c r="X50" s="84" t="s">
        <v>707</v>
      </c>
      <c r="Y50" s="88" t="s">
        <v>533</v>
      </c>
      <c r="Z50" s="88" t="s">
        <v>533</v>
      </c>
      <c r="AA50" s="88" t="s">
        <v>533</v>
      </c>
      <c r="AB50" s="88" t="s">
        <v>533</v>
      </c>
    </row>
    <row r="51" spans="10:28" ht="16" thickBot="1">
      <c r="J51" s="281" t="s">
        <v>712</v>
      </c>
      <c r="K51" s="282">
        <v>29864</v>
      </c>
      <c r="L51" s="282">
        <v>37527</v>
      </c>
      <c r="M51" s="282">
        <v>38426</v>
      </c>
      <c r="N51" s="283">
        <v>39212</v>
      </c>
      <c r="Q51" s="84" t="s">
        <v>706</v>
      </c>
      <c r="R51" s="110" t="s">
        <v>533</v>
      </c>
      <c r="S51" s="110" t="s">
        <v>533</v>
      </c>
      <c r="T51" s="110" t="s">
        <v>533</v>
      </c>
      <c r="U51" s="110" t="s">
        <v>533</v>
      </c>
      <c r="X51" s="84" t="s">
        <v>710</v>
      </c>
      <c r="Y51" s="88">
        <v>-41.27</v>
      </c>
      <c r="Z51" s="88">
        <v>13.59</v>
      </c>
      <c r="AA51" s="88">
        <v>23.66</v>
      </c>
      <c r="AB51" s="88">
        <v>-9.2899999999999991</v>
      </c>
    </row>
    <row r="52" spans="10:28" ht="16" thickBot="1">
      <c r="J52" s="82" t="s">
        <v>1130</v>
      </c>
      <c r="K52" s="109">
        <v>0</v>
      </c>
      <c r="L52" s="109" t="s">
        <v>533</v>
      </c>
      <c r="M52" s="109" t="s">
        <v>533</v>
      </c>
      <c r="N52" s="109" t="s">
        <v>533</v>
      </c>
      <c r="Q52" s="84" t="s">
        <v>709</v>
      </c>
      <c r="R52" s="110" t="s">
        <v>533</v>
      </c>
      <c r="S52" s="110" t="s">
        <v>533</v>
      </c>
      <c r="T52" s="110" t="s">
        <v>533</v>
      </c>
      <c r="U52" s="110" t="s">
        <v>533</v>
      </c>
      <c r="X52" s="86"/>
      <c r="Y52" s="86"/>
      <c r="Z52" s="86"/>
      <c r="AA52" s="86"/>
      <c r="AB52" s="86"/>
    </row>
    <row r="53" spans="10:28" ht="16" thickBot="1">
      <c r="J53" s="128" t="s">
        <v>199</v>
      </c>
      <c r="K53" s="142">
        <v>100000</v>
      </c>
      <c r="L53" s="142">
        <v>0</v>
      </c>
      <c r="M53" s="142">
        <v>0</v>
      </c>
      <c r="N53" s="143">
        <v>0</v>
      </c>
      <c r="Q53" s="84" t="s">
        <v>711</v>
      </c>
      <c r="R53" s="110" t="s">
        <v>533</v>
      </c>
      <c r="S53" s="110" t="s">
        <v>533</v>
      </c>
      <c r="T53" s="110" t="s">
        <v>533</v>
      </c>
      <c r="U53" s="110" t="s">
        <v>533</v>
      </c>
      <c r="X53" s="84" t="s">
        <v>713</v>
      </c>
      <c r="Y53" s="88">
        <v>50.79</v>
      </c>
      <c r="Z53" s="88">
        <v>37.200000000000003</v>
      </c>
      <c r="AA53" s="88">
        <v>13.54</v>
      </c>
      <c r="AB53" s="88">
        <v>22.83</v>
      </c>
    </row>
    <row r="54" spans="10:28" ht="16" thickBot="1">
      <c r="J54" s="137" t="s">
        <v>718</v>
      </c>
      <c r="K54" s="150" t="s">
        <v>533</v>
      </c>
      <c r="L54" s="150" t="s">
        <v>533</v>
      </c>
      <c r="M54" s="150" t="s">
        <v>533</v>
      </c>
      <c r="N54" s="150" t="s">
        <v>533</v>
      </c>
      <c r="Q54" s="125" t="s">
        <v>101</v>
      </c>
      <c r="R54" s="139">
        <v>-49019</v>
      </c>
      <c r="S54" s="139">
        <v>-38679</v>
      </c>
      <c r="T54" s="139">
        <v>-14466</v>
      </c>
      <c r="U54" s="140">
        <v>-31083</v>
      </c>
      <c r="X54" s="125" t="s">
        <v>715</v>
      </c>
      <c r="Y54" s="160">
        <v>9517</v>
      </c>
      <c r="Z54" s="160">
        <v>50791</v>
      </c>
      <c r="AA54" s="160">
        <v>37200</v>
      </c>
      <c r="AB54" s="161">
        <v>13543</v>
      </c>
    </row>
    <row r="55" spans="10:28" ht="16" thickBot="1">
      <c r="J55" s="84" t="s">
        <v>689</v>
      </c>
      <c r="K55" s="110" t="s">
        <v>533</v>
      </c>
      <c r="L55" s="110" t="s">
        <v>533</v>
      </c>
      <c r="M55" s="110" t="s">
        <v>533</v>
      </c>
      <c r="N55" s="110" t="s">
        <v>533</v>
      </c>
      <c r="Q55" s="124"/>
      <c r="R55" s="124"/>
      <c r="S55" s="124"/>
      <c r="T55" s="124"/>
      <c r="U55" s="124"/>
      <c r="X55" s="137" t="s">
        <v>717</v>
      </c>
      <c r="Y55" s="162">
        <v>0.01</v>
      </c>
      <c r="Z55" s="162">
        <v>1.8</v>
      </c>
      <c r="AA55" s="162">
        <v>1.84</v>
      </c>
      <c r="AB55" s="162">
        <v>1.72</v>
      </c>
    </row>
    <row r="56" spans="10:28" ht="16" thickBot="1">
      <c r="J56" s="80" t="s">
        <v>726</v>
      </c>
      <c r="K56" s="91">
        <v>30.6</v>
      </c>
      <c r="L56" s="91">
        <v>45</v>
      </c>
      <c r="M56" s="91">
        <v>47.1</v>
      </c>
      <c r="N56" s="91">
        <v>49.2</v>
      </c>
      <c r="Q56" s="84" t="s">
        <v>716</v>
      </c>
      <c r="R56" s="110" t="s">
        <v>533</v>
      </c>
      <c r="S56" s="110" t="s">
        <v>533</v>
      </c>
      <c r="T56" s="110" t="s">
        <v>533</v>
      </c>
      <c r="U56" s="110" t="s">
        <v>533</v>
      </c>
      <c r="X56" s="84" t="s">
        <v>720</v>
      </c>
      <c r="Y56" s="88">
        <v>0.1</v>
      </c>
      <c r="Z56" s="88">
        <v>0.08</v>
      </c>
      <c r="AA56" s="88">
        <v>0.1</v>
      </c>
      <c r="AB56" s="88">
        <v>0.08</v>
      </c>
    </row>
    <row r="57" spans="10:28" ht="16" thickBot="1">
      <c r="J57" s="82" t="s">
        <v>732</v>
      </c>
      <c r="K57" s="109">
        <v>30.6</v>
      </c>
      <c r="L57" s="109">
        <v>45</v>
      </c>
      <c r="M57" s="109">
        <v>47.1</v>
      </c>
      <c r="N57" s="109">
        <v>49.2</v>
      </c>
      <c r="Q57" s="84" t="s">
        <v>719</v>
      </c>
      <c r="R57" s="110" t="s">
        <v>533</v>
      </c>
      <c r="S57" s="110" t="s">
        <v>533</v>
      </c>
      <c r="T57" s="110" t="s">
        <v>533</v>
      </c>
      <c r="U57" s="110" t="s">
        <v>533</v>
      </c>
      <c r="X57" s="84" t="s">
        <v>723</v>
      </c>
      <c r="Y57" s="88" t="s">
        <v>533</v>
      </c>
      <c r="Z57" s="88" t="s">
        <v>533</v>
      </c>
      <c r="AA57" s="88" t="s">
        <v>533</v>
      </c>
      <c r="AB57" s="88" t="s">
        <v>533</v>
      </c>
    </row>
    <row r="58" spans="10:28" ht="16" thickBot="1">
      <c r="J58" s="125" t="s">
        <v>337</v>
      </c>
      <c r="K58" s="139">
        <v>94239</v>
      </c>
      <c r="L58" s="139">
        <v>93491</v>
      </c>
      <c r="M58" s="139">
        <v>101153</v>
      </c>
      <c r="N58" s="140">
        <v>87895</v>
      </c>
      <c r="Q58" s="84" t="s">
        <v>722</v>
      </c>
      <c r="R58" s="110">
        <v>0</v>
      </c>
      <c r="S58" s="110">
        <v>8.4</v>
      </c>
      <c r="T58" s="110" t="s">
        <v>533</v>
      </c>
      <c r="U58" s="110" t="s">
        <v>533</v>
      </c>
      <c r="X58" s="84" t="s">
        <v>725</v>
      </c>
      <c r="Y58" s="88">
        <v>-0.3</v>
      </c>
      <c r="Z58" s="88">
        <v>-1.1299999999999999</v>
      </c>
      <c r="AA58" s="88">
        <v>-1.01</v>
      </c>
      <c r="AB58" s="88">
        <v>-0.27</v>
      </c>
    </row>
    <row r="59" spans="10:28" ht="16" thickBot="1">
      <c r="J59" s="124"/>
      <c r="K59" s="124"/>
      <c r="L59" s="124"/>
      <c r="M59" s="124"/>
      <c r="N59" s="124"/>
      <c r="Q59" s="84" t="s">
        <v>724</v>
      </c>
      <c r="R59" s="110" t="s">
        <v>533</v>
      </c>
      <c r="S59" s="110" t="s">
        <v>533</v>
      </c>
      <c r="T59" s="110" t="s">
        <v>533</v>
      </c>
      <c r="U59" s="110" t="s">
        <v>533</v>
      </c>
      <c r="X59" s="84" t="s">
        <v>728</v>
      </c>
      <c r="Y59" s="88" t="s">
        <v>533</v>
      </c>
      <c r="Z59" s="88" t="s">
        <v>533</v>
      </c>
      <c r="AA59" s="88" t="s">
        <v>533</v>
      </c>
      <c r="AB59" s="88" t="s">
        <v>533</v>
      </c>
    </row>
    <row r="60" spans="10:28" ht="16" thickBot="1">
      <c r="J60" s="79" t="s">
        <v>738</v>
      </c>
      <c r="K60" s="79"/>
      <c r="L60" s="79"/>
      <c r="M60" s="79"/>
      <c r="N60" s="79"/>
      <c r="Q60" s="84" t="s">
        <v>727</v>
      </c>
      <c r="R60" s="110" t="s">
        <v>533</v>
      </c>
      <c r="S60" s="110" t="s">
        <v>533</v>
      </c>
      <c r="T60" s="110" t="s">
        <v>533</v>
      </c>
      <c r="U60" s="110" t="s">
        <v>533</v>
      </c>
      <c r="X60" s="84" t="s">
        <v>731</v>
      </c>
      <c r="Y60" s="88">
        <v>15.08</v>
      </c>
      <c r="Z60" s="88">
        <v>16.850000000000001</v>
      </c>
      <c r="AA60" s="88" t="s">
        <v>533</v>
      </c>
      <c r="AB60" s="88" t="s">
        <v>533</v>
      </c>
    </row>
    <row r="61" spans="10:28" ht="16" thickBot="1">
      <c r="J61" s="80" t="s">
        <v>741</v>
      </c>
      <c r="K61" s="91">
        <v>0</v>
      </c>
      <c r="L61" s="91">
        <v>0</v>
      </c>
      <c r="M61" s="91">
        <v>376.4</v>
      </c>
      <c r="N61" s="91">
        <v>376.4</v>
      </c>
      <c r="Q61" s="84" t="s">
        <v>730</v>
      </c>
      <c r="R61" s="110">
        <v>0</v>
      </c>
      <c r="S61" s="110">
        <v>8.4</v>
      </c>
      <c r="T61" s="110" t="s">
        <v>533</v>
      </c>
      <c r="U61" s="110" t="s">
        <v>533</v>
      </c>
      <c r="X61" s="84" t="s">
        <v>734</v>
      </c>
      <c r="Y61" s="88" t="s">
        <v>533</v>
      </c>
      <c r="Z61" s="88" t="s">
        <v>533</v>
      </c>
      <c r="AA61" s="88" t="s">
        <v>533</v>
      </c>
      <c r="AB61" s="88" t="s">
        <v>533</v>
      </c>
    </row>
    <row r="62" spans="10:28" ht="16" thickBot="1">
      <c r="J62" s="82" t="s">
        <v>344</v>
      </c>
      <c r="K62" s="109">
        <v>0</v>
      </c>
      <c r="L62" s="109">
        <v>0</v>
      </c>
      <c r="M62" s="109">
        <v>376.4</v>
      </c>
      <c r="N62" s="109">
        <v>376.4</v>
      </c>
      <c r="Q62" s="84" t="s">
        <v>733</v>
      </c>
      <c r="R62" s="110">
        <v>-49</v>
      </c>
      <c r="S62" s="110">
        <v>-30.3</v>
      </c>
      <c r="T62" s="110">
        <v>-14.5</v>
      </c>
      <c r="U62" s="110">
        <v>-31.1</v>
      </c>
      <c r="X62" s="84" t="s">
        <v>736</v>
      </c>
      <c r="Y62" s="88">
        <v>-51.43</v>
      </c>
      <c r="Z62" s="88">
        <v>-20.78</v>
      </c>
      <c r="AA62" s="88">
        <v>-10.53</v>
      </c>
      <c r="AB62" s="88">
        <v>-4.8099999999999996</v>
      </c>
    </row>
    <row r="63" spans="10:28" ht="16" thickBot="1">
      <c r="J63" s="84" t="s">
        <v>744</v>
      </c>
      <c r="K63" s="110" t="s">
        <v>533</v>
      </c>
      <c r="L63" s="110" t="s">
        <v>533</v>
      </c>
      <c r="M63" s="110" t="s">
        <v>533</v>
      </c>
      <c r="N63" s="110" t="s">
        <v>533</v>
      </c>
      <c r="Q63" s="84" t="s">
        <v>735</v>
      </c>
      <c r="R63" s="110">
        <v>-49</v>
      </c>
      <c r="S63" s="110">
        <v>-30.3</v>
      </c>
      <c r="T63" s="110">
        <v>-14.5</v>
      </c>
      <c r="U63" s="110">
        <v>-31.1</v>
      </c>
      <c r="X63" s="84" t="s">
        <v>737</v>
      </c>
      <c r="Y63" s="88" t="s">
        <v>533</v>
      </c>
      <c r="Z63" s="88" t="s">
        <v>533</v>
      </c>
      <c r="AA63" s="88" t="s">
        <v>533</v>
      </c>
      <c r="AB63" s="88" t="s">
        <v>533</v>
      </c>
    </row>
    <row r="64" spans="10:28" ht="16" thickBot="1">
      <c r="J64" s="80" t="s">
        <v>749</v>
      </c>
      <c r="K64" s="91">
        <v>0</v>
      </c>
      <c r="L64" s="91">
        <v>0</v>
      </c>
      <c r="M64" s="91">
        <v>0</v>
      </c>
      <c r="N64" s="91">
        <v>0</v>
      </c>
      <c r="Q64" s="128" t="s">
        <v>406</v>
      </c>
      <c r="R64" s="142">
        <v>92201.8</v>
      </c>
      <c r="S64" s="142">
        <v>71126.2</v>
      </c>
      <c r="T64" s="142">
        <v>90189.8</v>
      </c>
      <c r="U64" s="143">
        <v>90189.8</v>
      </c>
      <c r="X64" s="84" t="s">
        <v>740</v>
      </c>
      <c r="Y64" s="88" t="s">
        <v>533</v>
      </c>
      <c r="Z64" s="88" t="s">
        <v>533</v>
      </c>
      <c r="AA64" s="88" t="s">
        <v>533</v>
      </c>
      <c r="AB64" s="88" t="s">
        <v>533</v>
      </c>
    </row>
    <row r="65" spans="10:28" ht="16" thickBot="1">
      <c r="J65" s="82" t="s">
        <v>751</v>
      </c>
      <c r="K65" s="109">
        <v>0</v>
      </c>
      <c r="L65" s="109">
        <v>0</v>
      </c>
      <c r="M65" s="109">
        <v>0</v>
      </c>
      <c r="N65" s="109">
        <v>0</v>
      </c>
      <c r="Q65" s="137" t="s">
        <v>739</v>
      </c>
      <c r="R65" s="162">
        <v>-0.53</v>
      </c>
      <c r="S65" s="162">
        <v>-0.43</v>
      </c>
      <c r="T65" s="162">
        <v>-0.16</v>
      </c>
      <c r="U65" s="162">
        <v>-0.34</v>
      </c>
      <c r="X65" s="84" t="s">
        <v>743</v>
      </c>
      <c r="Y65" s="88" t="s">
        <v>533</v>
      </c>
      <c r="Z65" s="88" t="s">
        <v>533</v>
      </c>
      <c r="AA65" s="88" t="s">
        <v>533</v>
      </c>
      <c r="AB65" s="88" t="s">
        <v>533</v>
      </c>
    </row>
    <row r="66" spans="10:28" ht="16" thickBot="1">
      <c r="J66" s="128" t="s">
        <v>753</v>
      </c>
      <c r="K66" s="142">
        <v>586.20000000000005</v>
      </c>
      <c r="L66" s="142">
        <v>570.79999999999995</v>
      </c>
      <c r="M66" s="142">
        <v>116.1</v>
      </c>
      <c r="N66" s="143">
        <v>108.1</v>
      </c>
      <c r="Q66" s="84" t="s">
        <v>742</v>
      </c>
      <c r="R66" s="88">
        <v>-0.53</v>
      </c>
      <c r="S66" s="88">
        <v>-0.43</v>
      </c>
      <c r="T66" s="88">
        <v>-0.16</v>
      </c>
      <c r="U66" s="88">
        <v>-0.34</v>
      </c>
      <c r="X66" s="96"/>
    </row>
    <row r="67" spans="10:28" ht="16" thickBot="1">
      <c r="J67" s="128" t="s">
        <v>755</v>
      </c>
      <c r="K67" s="142">
        <v>-439.8</v>
      </c>
      <c r="L67" s="142">
        <v>-391.7</v>
      </c>
      <c r="M67" s="142">
        <v>-353</v>
      </c>
      <c r="N67" s="143">
        <v>-338.5</v>
      </c>
      <c r="Q67" s="84" t="s">
        <v>745</v>
      </c>
      <c r="R67" s="110" t="s">
        <v>533</v>
      </c>
      <c r="S67" s="110" t="s">
        <v>533</v>
      </c>
      <c r="T67" s="110" t="s">
        <v>533</v>
      </c>
      <c r="U67" s="110" t="s">
        <v>533</v>
      </c>
      <c r="X67" s="70" t="s">
        <v>748</v>
      </c>
      <c r="Y67" s="88">
        <v>-77.89</v>
      </c>
      <c r="Z67" s="88">
        <v>-38.369999999999997</v>
      </c>
      <c r="AA67" s="88">
        <v>-12.27</v>
      </c>
      <c r="AB67" s="88">
        <v>-20.65</v>
      </c>
    </row>
    <row r="68" spans="10:28" ht="16" thickBot="1">
      <c r="J68" s="137" t="s">
        <v>757</v>
      </c>
      <c r="K68" s="150" t="s">
        <v>533</v>
      </c>
      <c r="L68" s="150" t="s">
        <v>533</v>
      </c>
      <c r="M68" s="150" t="s">
        <v>533</v>
      </c>
      <c r="N68" s="150" t="s">
        <v>533</v>
      </c>
      <c r="Q68" s="84" t="s">
        <v>747</v>
      </c>
      <c r="R68" s="110">
        <v>-49</v>
      </c>
      <c r="S68" s="110">
        <v>-30.3</v>
      </c>
      <c r="T68" s="110">
        <v>-14.5</v>
      </c>
      <c r="U68" s="110">
        <v>-31.1</v>
      </c>
    </row>
    <row r="69" spans="10:28" ht="16" thickBot="1">
      <c r="J69" s="84" t="s">
        <v>759</v>
      </c>
      <c r="K69" s="110" t="s">
        <v>533</v>
      </c>
      <c r="L69" s="110" t="s">
        <v>533</v>
      </c>
      <c r="M69" s="110" t="s">
        <v>533</v>
      </c>
      <c r="N69" s="110" t="s">
        <v>533</v>
      </c>
      <c r="Q69" s="84" t="s">
        <v>750</v>
      </c>
      <c r="R69" s="110">
        <v>92.2</v>
      </c>
      <c r="S69" s="110">
        <v>71.099999999999994</v>
      </c>
      <c r="T69" s="110">
        <v>90.2</v>
      </c>
      <c r="U69" s="110">
        <v>90.2</v>
      </c>
    </row>
    <row r="70" spans="10:28" ht="16" thickBot="1">
      <c r="J70" s="84" t="s">
        <v>761</v>
      </c>
      <c r="K70" s="110" t="s">
        <v>533</v>
      </c>
      <c r="L70" s="110" t="s">
        <v>533</v>
      </c>
      <c r="M70" s="110" t="s">
        <v>533</v>
      </c>
      <c r="N70" s="110" t="s">
        <v>533</v>
      </c>
      <c r="Q70" s="84" t="s">
        <v>752</v>
      </c>
      <c r="R70" s="88">
        <v>-0.53</v>
      </c>
      <c r="S70" s="88">
        <v>-0.43</v>
      </c>
      <c r="T70" s="88">
        <v>-0.16</v>
      </c>
      <c r="U70" s="88">
        <v>-0.34</v>
      </c>
    </row>
    <row r="71" spans="10:28" ht="16" thickBot="1">
      <c r="J71" s="80" t="s">
        <v>763</v>
      </c>
      <c r="K71" s="91">
        <v>0</v>
      </c>
      <c r="L71" s="91">
        <v>0</v>
      </c>
      <c r="M71" s="91">
        <v>0.1</v>
      </c>
      <c r="N71" s="91">
        <v>0.1</v>
      </c>
      <c r="Q71" s="84" t="s">
        <v>754</v>
      </c>
      <c r="R71" s="88">
        <v>-0.53</v>
      </c>
      <c r="S71" s="88">
        <v>-0.43</v>
      </c>
      <c r="T71" s="88">
        <v>-0.16</v>
      </c>
      <c r="U71" s="88">
        <v>-0.34</v>
      </c>
    </row>
    <row r="72" spans="10:28" ht="16" thickBot="1">
      <c r="J72" s="82" t="s">
        <v>769</v>
      </c>
      <c r="K72" s="109">
        <v>0</v>
      </c>
      <c r="L72" s="109">
        <v>0</v>
      </c>
      <c r="M72" s="109">
        <v>0.1</v>
      </c>
      <c r="N72" s="109">
        <v>0.1</v>
      </c>
      <c r="Q72" s="79" t="s">
        <v>756</v>
      </c>
      <c r="R72" s="79"/>
      <c r="S72" s="79"/>
      <c r="T72" s="79"/>
      <c r="U72" s="79"/>
    </row>
    <row r="73" spans="10:28" ht="16" thickBot="1">
      <c r="J73" s="125" t="s">
        <v>184</v>
      </c>
      <c r="K73" s="139">
        <v>146360</v>
      </c>
      <c r="L73" s="139">
        <v>179106</v>
      </c>
      <c r="M73" s="139">
        <v>139579</v>
      </c>
      <c r="N73" s="140">
        <v>146127</v>
      </c>
      <c r="Q73" s="84" t="s">
        <v>758</v>
      </c>
      <c r="R73" s="88">
        <v>0</v>
      </c>
      <c r="S73" s="88">
        <v>0</v>
      </c>
      <c r="T73" s="88">
        <v>0</v>
      </c>
      <c r="U73" s="88">
        <v>0</v>
      </c>
    </row>
    <row r="74" spans="10:28" ht="16" thickBot="1">
      <c r="J74" s="124"/>
      <c r="K74" s="124"/>
      <c r="L74" s="124"/>
      <c r="M74" s="124"/>
      <c r="N74" s="124"/>
      <c r="Q74" s="84" t="s">
        <v>760</v>
      </c>
      <c r="R74" s="88" t="s">
        <v>533</v>
      </c>
      <c r="S74" s="88" t="s">
        <v>533</v>
      </c>
      <c r="T74" s="88" t="s">
        <v>533</v>
      </c>
      <c r="U74" s="88" t="s">
        <v>533</v>
      </c>
    </row>
    <row r="75" spans="10:28" ht="16" thickBot="1">
      <c r="J75" s="125" t="s">
        <v>773</v>
      </c>
      <c r="K75" s="139">
        <v>240599</v>
      </c>
      <c r="L75" s="139">
        <v>272597</v>
      </c>
      <c r="M75" s="139">
        <v>240732</v>
      </c>
      <c r="N75" s="140">
        <v>234022</v>
      </c>
      <c r="Q75" s="84" t="s">
        <v>762</v>
      </c>
      <c r="R75" s="88" t="s">
        <v>533</v>
      </c>
      <c r="S75" s="88" t="s">
        <v>533</v>
      </c>
      <c r="T75" s="88" t="s">
        <v>533</v>
      </c>
      <c r="U75" s="88" t="s">
        <v>533</v>
      </c>
    </row>
    <row r="76" spans="10:28" ht="16" thickBot="1">
      <c r="J76" s="124"/>
      <c r="K76" s="124"/>
      <c r="L76" s="124"/>
      <c r="M76" s="124"/>
      <c r="N76" s="124"/>
      <c r="Q76" s="84" t="s">
        <v>764</v>
      </c>
      <c r="R76" s="88" t="s">
        <v>533</v>
      </c>
      <c r="S76" s="88" t="s">
        <v>533</v>
      </c>
      <c r="T76" s="88" t="s">
        <v>533</v>
      </c>
      <c r="U76" s="88" t="s">
        <v>533</v>
      </c>
    </row>
    <row r="77" spans="10:28" ht="16" thickBot="1">
      <c r="J77" s="79" t="s">
        <v>756</v>
      </c>
      <c r="K77" s="79"/>
      <c r="L77" s="79"/>
      <c r="M77" s="79"/>
      <c r="N77" s="79"/>
      <c r="Q77" s="84" t="s">
        <v>766</v>
      </c>
      <c r="R77" s="88" t="s">
        <v>533</v>
      </c>
      <c r="S77" s="88" t="s">
        <v>533</v>
      </c>
      <c r="T77" s="88" t="s">
        <v>533</v>
      </c>
      <c r="U77" s="88" t="s">
        <v>533</v>
      </c>
    </row>
    <row r="78" spans="10:28" ht="16" thickBot="1">
      <c r="J78" s="84" t="s">
        <v>777</v>
      </c>
      <c r="K78" s="110" t="s">
        <v>533</v>
      </c>
      <c r="L78" s="110" t="s">
        <v>533</v>
      </c>
      <c r="M78" s="110" t="s">
        <v>533</v>
      </c>
      <c r="N78" s="110" t="s">
        <v>533</v>
      </c>
      <c r="Q78" s="84" t="s">
        <v>768</v>
      </c>
      <c r="R78" s="88" t="s">
        <v>533</v>
      </c>
      <c r="S78" s="88" t="s">
        <v>533</v>
      </c>
      <c r="T78" s="88" t="s">
        <v>533</v>
      </c>
      <c r="U78" s="88" t="s">
        <v>533</v>
      </c>
    </row>
    <row r="79" spans="10:28" ht="16" thickBot="1">
      <c r="J79" s="84" t="s">
        <v>779</v>
      </c>
      <c r="K79" s="110" t="s">
        <v>533</v>
      </c>
      <c r="L79" s="110" t="s">
        <v>533</v>
      </c>
      <c r="M79" s="110" t="s">
        <v>533</v>
      </c>
      <c r="N79" s="110" t="s">
        <v>533</v>
      </c>
      <c r="Q79" s="84" t="s">
        <v>770</v>
      </c>
      <c r="R79" s="88" t="s">
        <v>533</v>
      </c>
      <c r="S79" s="88" t="s">
        <v>533</v>
      </c>
      <c r="T79" s="88" t="s">
        <v>533</v>
      </c>
      <c r="U79" s="88" t="s">
        <v>533</v>
      </c>
    </row>
    <row r="80" spans="10:28" ht="16" thickBot="1">
      <c r="J80" s="84" t="s">
        <v>781</v>
      </c>
      <c r="K80" s="110" t="s">
        <v>533</v>
      </c>
      <c r="L80" s="110" t="s">
        <v>533</v>
      </c>
      <c r="M80" s="110" t="s">
        <v>533</v>
      </c>
      <c r="N80" s="110" t="s">
        <v>533</v>
      </c>
      <c r="Q80" s="84" t="s">
        <v>771</v>
      </c>
      <c r="R80" s="88" t="s">
        <v>533</v>
      </c>
      <c r="S80" s="88" t="s">
        <v>533</v>
      </c>
      <c r="T80" s="88" t="s">
        <v>533</v>
      </c>
      <c r="U80" s="88" t="s">
        <v>533</v>
      </c>
    </row>
    <row r="81" spans="10:21" ht="16" thickBot="1">
      <c r="J81" s="80" t="s">
        <v>783</v>
      </c>
      <c r="K81" s="91">
        <v>92.9</v>
      </c>
      <c r="L81" s="91">
        <v>91.5</v>
      </c>
      <c r="M81" s="91">
        <v>90.2</v>
      </c>
      <c r="N81" s="91">
        <v>90.2</v>
      </c>
      <c r="Q81" s="84" t="s">
        <v>772</v>
      </c>
      <c r="R81" s="110">
        <v>0</v>
      </c>
      <c r="S81" s="110">
        <v>35</v>
      </c>
      <c r="T81" s="110">
        <v>0</v>
      </c>
      <c r="U81" s="110">
        <v>0</v>
      </c>
    </row>
    <row r="82" spans="10:21" ht="16" thickBot="1">
      <c r="J82" s="82" t="s">
        <v>785</v>
      </c>
      <c r="K82" s="109">
        <v>92.9</v>
      </c>
      <c r="L82" s="109">
        <v>91.5</v>
      </c>
      <c r="M82" s="109">
        <v>90.2</v>
      </c>
      <c r="N82" s="109">
        <v>90.2</v>
      </c>
      <c r="Q82" s="84" t="s">
        <v>774</v>
      </c>
      <c r="R82" s="110" t="s">
        <v>533</v>
      </c>
      <c r="S82" s="110" t="s">
        <v>533</v>
      </c>
      <c r="T82" s="110" t="s">
        <v>533</v>
      </c>
      <c r="U82" s="110" t="s">
        <v>533</v>
      </c>
    </row>
    <row r="83" spans="10:21" ht="16" thickBot="1">
      <c r="J83" s="84" t="s">
        <v>787</v>
      </c>
      <c r="K83" s="110">
        <v>0</v>
      </c>
      <c r="L83" s="110">
        <v>0</v>
      </c>
      <c r="M83" s="110">
        <v>0</v>
      </c>
      <c r="N83" s="110">
        <v>0</v>
      </c>
      <c r="Q83" s="84" t="s">
        <v>775</v>
      </c>
      <c r="R83" s="110" t="s">
        <v>533</v>
      </c>
      <c r="S83" s="110" t="s">
        <v>533</v>
      </c>
      <c r="T83" s="110" t="s">
        <v>533</v>
      </c>
      <c r="U83" s="110" t="s">
        <v>533</v>
      </c>
    </row>
    <row r="84" spans="10:21" ht="16" thickBot="1">
      <c r="J84" s="84" t="s">
        <v>789</v>
      </c>
      <c r="K84" s="110" t="s">
        <v>533</v>
      </c>
      <c r="L84" s="110" t="s">
        <v>533</v>
      </c>
      <c r="M84" s="110" t="s">
        <v>533</v>
      </c>
      <c r="N84" s="110" t="s">
        <v>533</v>
      </c>
      <c r="Q84" s="84" t="s">
        <v>776</v>
      </c>
      <c r="R84" s="88" t="s">
        <v>533</v>
      </c>
      <c r="S84" s="88" t="s">
        <v>533</v>
      </c>
      <c r="T84" s="88" t="s">
        <v>533</v>
      </c>
      <c r="U84" s="88" t="s">
        <v>533</v>
      </c>
    </row>
    <row r="85" spans="10:21" ht="16" thickBot="1">
      <c r="J85" s="84" t="s">
        <v>791</v>
      </c>
      <c r="K85" s="110" t="s">
        <v>533</v>
      </c>
      <c r="L85" s="110" t="s">
        <v>533</v>
      </c>
      <c r="M85" s="110" t="s">
        <v>533</v>
      </c>
      <c r="N85" s="110" t="s">
        <v>533</v>
      </c>
      <c r="Q85" s="84" t="s">
        <v>778</v>
      </c>
      <c r="R85" s="88" t="s">
        <v>533</v>
      </c>
      <c r="S85" s="88" t="s">
        <v>533</v>
      </c>
      <c r="T85" s="88" t="s">
        <v>533</v>
      </c>
      <c r="U85" s="88" t="s">
        <v>533</v>
      </c>
    </row>
    <row r="86" spans="10:21" ht="16" thickBot="1">
      <c r="J86" s="84" t="s">
        <v>793</v>
      </c>
      <c r="K86" s="110" t="s">
        <v>533</v>
      </c>
      <c r="L86" s="110" t="s">
        <v>533</v>
      </c>
      <c r="M86" s="110" t="s">
        <v>533</v>
      </c>
      <c r="N86" s="110" t="s">
        <v>533</v>
      </c>
      <c r="Q86" s="84" t="s">
        <v>780</v>
      </c>
      <c r="R86" s="110" t="s">
        <v>533</v>
      </c>
      <c r="S86" s="110" t="s">
        <v>533</v>
      </c>
      <c r="T86" s="110" t="s">
        <v>533</v>
      </c>
      <c r="U86" s="110" t="s">
        <v>533</v>
      </c>
    </row>
    <row r="87" spans="10:21" ht="16" thickBot="1">
      <c r="J87" s="84" t="s">
        <v>795</v>
      </c>
      <c r="K87" s="110" t="s">
        <v>533</v>
      </c>
      <c r="L87" s="110" t="s">
        <v>533</v>
      </c>
      <c r="M87" s="110" t="s">
        <v>533</v>
      </c>
      <c r="N87" s="110" t="s">
        <v>533</v>
      </c>
      <c r="Q87" s="84" t="s">
        <v>782</v>
      </c>
      <c r="R87" s="110" t="s">
        <v>533</v>
      </c>
      <c r="S87" s="110" t="s">
        <v>533</v>
      </c>
      <c r="T87" s="110" t="s">
        <v>533</v>
      </c>
      <c r="U87" s="110" t="s">
        <v>533</v>
      </c>
    </row>
    <row r="88" spans="10:21" ht="16" thickBot="1">
      <c r="J88" s="84" t="s">
        <v>797</v>
      </c>
      <c r="K88" s="110" t="s">
        <v>533</v>
      </c>
      <c r="L88" s="110" t="s">
        <v>533</v>
      </c>
      <c r="M88" s="110" t="s">
        <v>533</v>
      </c>
      <c r="N88" s="110" t="s">
        <v>533</v>
      </c>
      <c r="Q88" s="84" t="s">
        <v>784</v>
      </c>
      <c r="R88" s="110" t="s">
        <v>533</v>
      </c>
      <c r="S88" s="110" t="s">
        <v>533</v>
      </c>
      <c r="T88" s="110" t="s">
        <v>533</v>
      </c>
      <c r="U88" s="110" t="s">
        <v>533</v>
      </c>
    </row>
    <row r="89" spans="10:21" ht="16" thickBot="1">
      <c r="J89" s="84" t="s">
        <v>799</v>
      </c>
      <c r="K89" s="110" t="s">
        <v>533</v>
      </c>
      <c r="L89" s="110" t="s">
        <v>533</v>
      </c>
      <c r="M89" s="110" t="s">
        <v>533</v>
      </c>
      <c r="N89" s="110" t="s">
        <v>533</v>
      </c>
      <c r="Q89" s="84" t="s">
        <v>786</v>
      </c>
      <c r="R89" s="110" t="s">
        <v>533</v>
      </c>
      <c r="S89" s="110" t="s">
        <v>533</v>
      </c>
      <c r="T89" s="110" t="s">
        <v>533</v>
      </c>
      <c r="U89" s="110" t="s">
        <v>533</v>
      </c>
    </row>
    <row r="90" spans="10:21" ht="16" thickBot="1">
      <c r="J90" s="84" t="s">
        <v>801</v>
      </c>
      <c r="K90" s="110" t="s">
        <v>533</v>
      </c>
      <c r="L90" s="110" t="s">
        <v>533</v>
      </c>
      <c r="M90" s="110" t="s">
        <v>533</v>
      </c>
      <c r="N90" s="110" t="s">
        <v>533</v>
      </c>
      <c r="Q90" s="84" t="s">
        <v>788</v>
      </c>
      <c r="R90" s="110" t="s">
        <v>533</v>
      </c>
      <c r="S90" s="110" t="s">
        <v>533</v>
      </c>
      <c r="T90" s="110" t="s">
        <v>533</v>
      </c>
      <c r="U90" s="110" t="s">
        <v>533</v>
      </c>
    </row>
    <row r="91" spans="10:21" ht="16" thickBot="1">
      <c r="J91" s="84" t="s">
        <v>803</v>
      </c>
      <c r="K91" s="110" t="s">
        <v>533</v>
      </c>
      <c r="L91" s="110" t="s">
        <v>533</v>
      </c>
      <c r="M91" s="110" t="s">
        <v>533</v>
      </c>
      <c r="N91" s="110" t="s">
        <v>533</v>
      </c>
      <c r="Q91" s="84" t="s">
        <v>790</v>
      </c>
      <c r="R91" s="110" t="s">
        <v>533</v>
      </c>
      <c r="S91" s="110" t="s">
        <v>533</v>
      </c>
      <c r="T91" s="110" t="s">
        <v>533</v>
      </c>
      <c r="U91" s="110" t="s">
        <v>533</v>
      </c>
    </row>
    <row r="92" spans="10:21" ht="16" thickBot="1">
      <c r="J92" s="84" t="s">
        <v>805</v>
      </c>
      <c r="K92" s="110" t="s">
        <v>533</v>
      </c>
      <c r="L92" s="110" t="s">
        <v>533</v>
      </c>
      <c r="M92" s="110" t="s">
        <v>533</v>
      </c>
      <c r="N92" s="110" t="s">
        <v>533</v>
      </c>
      <c r="Q92" s="84" t="s">
        <v>792</v>
      </c>
      <c r="R92" s="110">
        <v>0</v>
      </c>
      <c r="S92" s="110">
        <v>12.2</v>
      </c>
      <c r="T92" s="110" t="s">
        <v>533</v>
      </c>
      <c r="U92" s="110" t="s">
        <v>533</v>
      </c>
    </row>
    <row r="93" spans="10:21" ht="16" thickBot="1">
      <c r="J93" s="84" t="s">
        <v>807</v>
      </c>
      <c r="K93" s="110" t="s">
        <v>533</v>
      </c>
      <c r="L93" s="110" t="s">
        <v>533</v>
      </c>
      <c r="M93" s="110" t="s">
        <v>533</v>
      </c>
      <c r="N93" s="110" t="s">
        <v>533</v>
      </c>
      <c r="Q93" s="84" t="s">
        <v>794</v>
      </c>
      <c r="R93" s="110">
        <v>0</v>
      </c>
      <c r="S93" s="110">
        <v>12.2</v>
      </c>
      <c r="T93" s="110" t="s">
        <v>533</v>
      </c>
      <c r="U93" s="110" t="s">
        <v>533</v>
      </c>
    </row>
    <row r="94" spans="10:21" ht="16" thickBot="1">
      <c r="J94" s="84" t="s">
        <v>809</v>
      </c>
      <c r="K94" s="110" t="s">
        <v>533</v>
      </c>
      <c r="L94" s="110" t="s">
        <v>533</v>
      </c>
      <c r="M94" s="110" t="s">
        <v>533</v>
      </c>
      <c r="N94" s="110" t="s">
        <v>533</v>
      </c>
      <c r="Q94" s="84" t="s">
        <v>796</v>
      </c>
      <c r="R94" s="110">
        <v>0</v>
      </c>
      <c r="S94" s="110">
        <v>12.2</v>
      </c>
      <c r="T94" s="110" t="s">
        <v>533</v>
      </c>
      <c r="U94" s="110" t="s">
        <v>533</v>
      </c>
    </row>
    <row r="95" spans="10:21" ht="16" thickBot="1">
      <c r="J95" s="84" t="s">
        <v>811</v>
      </c>
      <c r="K95" s="110" t="s">
        <v>533</v>
      </c>
      <c r="L95" s="110" t="s">
        <v>533</v>
      </c>
      <c r="M95" s="110" t="s">
        <v>533</v>
      </c>
      <c r="N95" s="110" t="s">
        <v>533</v>
      </c>
      <c r="Q95" s="84" t="s">
        <v>798</v>
      </c>
      <c r="R95" s="110">
        <v>-48.9</v>
      </c>
      <c r="S95" s="110">
        <v>-26.4</v>
      </c>
      <c r="T95" s="110">
        <v>-14.4</v>
      </c>
      <c r="U95" s="110">
        <v>-31</v>
      </c>
    </row>
    <row r="96" spans="10:21" ht="16" thickBot="1">
      <c r="J96" s="84" t="s">
        <v>813</v>
      </c>
      <c r="K96" s="110">
        <v>146.4</v>
      </c>
      <c r="L96" s="110">
        <v>179.1</v>
      </c>
      <c r="M96" s="110">
        <v>139.6</v>
      </c>
      <c r="N96" s="110">
        <v>146.1</v>
      </c>
      <c r="Q96" s="84" t="s">
        <v>800</v>
      </c>
      <c r="R96" s="110">
        <v>0</v>
      </c>
      <c r="S96" s="110">
        <v>4.3</v>
      </c>
      <c r="T96" s="110" t="s">
        <v>533</v>
      </c>
      <c r="U96" s="110" t="s">
        <v>533</v>
      </c>
    </row>
    <row r="97" spans="10:21" ht="16" thickBot="1">
      <c r="J97" s="84" t="s">
        <v>815</v>
      </c>
      <c r="K97" s="85">
        <v>198</v>
      </c>
      <c r="L97" s="85">
        <v>187</v>
      </c>
      <c r="M97" s="85">
        <v>191</v>
      </c>
      <c r="N97" s="85" t="s">
        <v>533</v>
      </c>
      <c r="Q97" s="84" t="s">
        <v>802</v>
      </c>
      <c r="R97" s="110">
        <v>0.1</v>
      </c>
      <c r="S97" s="110">
        <v>4.3</v>
      </c>
      <c r="T97" s="110">
        <v>0.1</v>
      </c>
      <c r="U97" s="110">
        <v>0.1</v>
      </c>
    </row>
    <row r="98" spans="10:21" ht="16" thickBot="1">
      <c r="J98" s="84" t="s">
        <v>817</v>
      </c>
      <c r="K98" s="85" t="s">
        <v>533</v>
      </c>
      <c r="L98" s="85" t="s">
        <v>533</v>
      </c>
      <c r="M98" s="85" t="s">
        <v>533</v>
      </c>
      <c r="N98" s="85" t="s">
        <v>533</v>
      </c>
      <c r="Q98" s="84" t="s">
        <v>804</v>
      </c>
      <c r="R98" s="110">
        <v>-49</v>
      </c>
      <c r="S98" s="110">
        <v>-30.8</v>
      </c>
      <c r="T98" s="110">
        <v>-14.5</v>
      </c>
      <c r="U98" s="110">
        <v>-31.1</v>
      </c>
    </row>
    <row r="99" spans="10:21" ht="16" thickBot="1">
      <c r="J99" s="84" t="s">
        <v>819</v>
      </c>
      <c r="K99" s="85">
        <v>115</v>
      </c>
      <c r="L99" s="85">
        <v>123</v>
      </c>
      <c r="M99" s="85" t="s">
        <v>533</v>
      </c>
      <c r="N99" s="85" t="s">
        <v>533</v>
      </c>
      <c r="Q99" s="84" t="s">
        <v>806</v>
      </c>
      <c r="R99" s="110">
        <v>-49</v>
      </c>
      <c r="S99" s="110">
        <v>-22.4</v>
      </c>
      <c r="T99" s="110">
        <v>-14.5</v>
      </c>
      <c r="U99" s="110">
        <v>-31.1</v>
      </c>
    </row>
    <row r="100" spans="10:21" ht="16" thickBot="1">
      <c r="J100" s="84" t="s">
        <v>821</v>
      </c>
      <c r="K100" s="110" t="s">
        <v>533</v>
      </c>
      <c r="L100" s="110" t="s">
        <v>533</v>
      </c>
      <c r="M100" s="110" t="s">
        <v>533</v>
      </c>
      <c r="N100" s="110" t="s">
        <v>533</v>
      </c>
      <c r="Q100" s="84" t="s">
        <v>808</v>
      </c>
      <c r="R100" s="88">
        <v>-0.53</v>
      </c>
      <c r="S100" s="88">
        <v>-0.32</v>
      </c>
      <c r="T100" s="88">
        <v>-0.16</v>
      </c>
      <c r="U100" s="88">
        <v>-0.34</v>
      </c>
    </row>
    <row r="101" spans="10:21" ht="16" thickBot="1">
      <c r="J101" s="84" t="s">
        <v>823</v>
      </c>
      <c r="K101" s="110" t="s">
        <v>533</v>
      </c>
      <c r="L101" s="110" t="s">
        <v>533</v>
      </c>
      <c r="M101" s="110" t="s">
        <v>533</v>
      </c>
      <c r="N101" s="110" t="s">
        <v>533</v>
      </c>
      <c r="Q101" s="84" t="s">
        <v>810</v>
      </c>
      <c r="R101" s="88">
        <v>-0.53</v>
      </c>
      <c r="S101" s="88">
        <v>-0.32</v>
      </c>
      <c r="T101" s="88">
        <v>-0.16</v>
      </c>
      <c r="U101" s="88">
        <v>-0.34</v>
      </c>
    </row>
    <row r="102" spans="10:21" ht="16" thickBot="1">
      <c r="J102" s="84" t="s">
        <v>825</v>
      </c>
      <c r="K102" s="110">
        <v>2.2000000000000002</v>
      </c>
      <c r="L102" s="110">
        <v>2.2000000000000002</v>
      </c>
      <c r="M102" s="110">
        <v>2.2000000000000002</v>
      </c>
      <c r="N102" s="110">
        <v>2.2000000000000002</v>
      </c>
      <c r="Q102" s="84" t="s">
        <v>812</v>
      </c>
      <c r="R102" s="88" t="s">
        <v>533</v>
      </c>
      <c r="S102" s="88" t="s">
        <v>533</v>
      </c>
      <c r="T102" s="88" t="s">
        <v>533</v>
      </c>
      <c r="U102" s="88" t="s">
        <v>533</v>
      </c>
    </row>
    <row r="103" spans="10:21" ht="16" thickBot="1">
      <c r="J103" s="84" t="s">
        <v>827</v>
      </c>
      <c r="K103" s="110" t="s">
        <v>533</v>
      </c>
      <c r="L103" s="110" t="s">
        <v>533</v>
      </c>
      <c r="M103" s="110" t="s">
        <v>533</v>
      </c>
      <c r="N103" s="110" t="s">
        <v>533</v>
      </c>
      <c r="Q103" s="84" t="s">
        <v>814</v>
      </c>
      <c r="R103" s="110" t="s">
        <v>533</v>
      </c>
      <c r="S103" s="110" t="s">
        <v>533</v>
      </c>
      <c r="T103" s="110" t="s">
        <v>533</v>
      </c>
      <c r="U103" s="110" t="s">
        <v>533</v>
      </c>
    </row>
    <row r="104" spans="10:21" ht="16" thickBot="1">
      <c r="J104" s="84" t="s">
        <v>829</v>
      </c>
      <c r="K104" s="110">
        <v>0.7</v>
      </c>
      <c r="L104" s="110">
        <v>0.6</v>
      </c>
      <c r="M104" s="110">
        <v>0.5</v>
      </c>
      <c r="N104" s="110">
        <v>0.5</v>
      </c>
      <c r="Q104" s="84" t="s">
        <v>816</v>
      </c>
      <c r="R104" s="110" t="s">
        <v>533</v>
      </c>
      <c r="S104" s="110" t="s">
        <v>533</v>
      </c>
      <c r="T104" s="110" t="s">
        <v>533</v>
      </c>
      <c r="U104" s="110" t="s">
        <v>533</v>
      </c>
    </row>
    <row r="105" spans="10:21" ht="16" thickBot="1">
      <c r="J105" s="84" t="s">
        <v>831</v>
      </c>
      <c r="K105" s="110">
        <v>4.5</v>
      </c>
      <c r="L105" s="110" t="s">
        <v>533</v>
      </c>
      <c r="M105" s="110" t="s">
        <v>533</v>
      </c>
      <c r="N105" s="110" t="s">
        <v>533</v>
      </c>
      <c r="Q105" s="84" t="s">
        <v>818</v>
      </c>
      <c r="R105" s="110">
        <v>0.1</v>
      </c>
      <c r="S105" s="110">
        <v>0.1</v>
      </c>
      <c r="T105" s="110">
        <v>0.1</v>
      </c>
      <c r="U105" s="110">
        <v>0.1</v>
      </c>
    </row>
    <row r="106" spans="10:21" ht="16" thickBot="1">
      <c r="J106" s="84" t="s">
        <v>833</v>
      </c>
      <c r="K106" s="110">
        <v>1.4</v>
      </c>
      <c r="L106" s="110" t="s">
        <v>533</v>
      </c>
      <c r="M106" s="110" t="s">
        <v>533</v>
      </c>
      <c r="N106" s="110" t="s">
        <v>533</v>
      </c>
      <c r="Q106" s="84" t="s">
        <v>820</v>
      </c>
      <c r="R106" s="110" t="s">
        <v>533</v>
      </c>
      <c r="S106" s="110" t="s">
        <v>533</v>
      </c>
      <c r="T106" s="110" t="s">
        <v>533</v>
      </c>
      <c r="U106" s="110" t="s">
        <v>533</v>
      </c>
    </row>
    <row r="107" spans="10:21" ht="16" thickBot="1">
      <c r="J107" s="84" t="s">
        <v>835</v>
      </c>
      <c r="K107" s="110">
        <v>2.2999999999999998</v>
      </c>
      <c r="L107" s="110" t="s">
        <v>533</v>
      </c>
      <c r="M107" s="110" t="s">
        <v>533</v>
      </c>
      <c r="N107" s="110" t="s">
        <v>533</v>
      </c>
      <c r="Q107" s="84" t="s">
        <v>822</v>
      </c>
      <c r="R107" s="110">
        <v>2.7</v>
      </c>
      <c r="S107" s="110">
        <v>4.0999999999999996</v>
      </c>
      <c r="T107" s="110">
        <v>4.9000000000000004</v>
      </c>
      <c r="U107" s="110">
        <v>7.6</v>
      </c>
    </row>
    <row r="108" spans="10:21" ht="16" thickBot="1">
      <c r="J108" s="84" t="s">
        <v>837</v>
      </c>
      <c r="K108" s="110">
        <v>3</v>
      </c>
      <c r="L108" s="110" t="s">
        <v>533</v>
      </c>
      <c r="M108" s="110" t="s">
        <v>533</v>
      </c>
      <c r="N108" s="110" t="s">
        <v>533</v>
      </c>
      <c r="Q108" s="84" t="s">
        <v>824</v>
      </c>
      <c r="R108" s="110">
        <v>0.3</v>
      </c>
      <c r="S108" s="110">
        <v>0.4</v>
      </c>
      <c r="T108" s="110" t="s">
        <v>533</v>
      </c>
      <c r="U108" s="110" t="s">
        <v>533</v>
      </c>
    </row>
    <row r="109" spans="10:21" ht="16" thickBot="1">
      <c r="J109" s="84" t="s">
        <v>839</v>
      </c>
      <c r="K109" s="110">
        <v>0.1</v>
      </c>
      <c r="L109" s="110">
        <v>1.7</v>
      </c>
      <c r="M109" s="110" t="s">
        <v>533</v>
      </c>
      <c r="N109" s="110" t="s">
        <v>533</v>
      </c>
      <c r="Q109" s="84" t="s">
        <v>826</v>
      </c>
      <c r="R109" s="110">
        <v>0</v>
      </c>
      <c r="S109" s="110" t="s">
        <v>533</v>
      </c>
      <c r="T109" s="110" t="s">
        <v>533</v>
      </c>
      <c r="U109" s="110" t="s">
        <v>533</v>
      </c>
    </row>
    <row r="110" spans="10:21" ht="16" thickBot="1">
      <c r="J110" s="84" t="s">
        <v>841</v>
      </c>
      <c r="K110" s="110">
        <v>0.1</v>
      </c>
      <c r="L110" s="110">
        <v>1.7</v>
      </c>
      <c r="M110" s="110" t="s">
        <v>533</v>
      </c>
      <c r="N110" s="110" t="s">
        <v>533</v>
      </c>
      <c r="Q110" s="84" t="s">
        <v>828</v>
      </c>
      <c r="R110" s="110" t="s">
        <v>533</v>
      </c>
      <c r="S110" s="110" t="s">
        <v>533</v>
      </c>
      <c r="T110" s="110" t="s">
        <v>533</v>
      </c>
      <c r="U110" s="110" t="s">
        <v>533</v>
      </c>
    </row>
    <row r="111" spans="10:21" ht="16" thickBot="1">
      <c r="J111" s="84" t="s">
        <v>843</v>
      </c>
      <c r="K111" s="110" t="s">
        <v>533</v>
      </c>
      <c r="L111" s="110" t="s">
        <v>533</v>
      </c>
      <c r="M111" s="110" t="s">
        <v>533</v>
      </c>
      <c r="N111" s="110" t="s">
        <v>533</v>
      </c>
      <c r="Q111" s="84" t="s">
        <v>830</v>
      </c>
      <c r="R111" s="110">
        <v>0</v>
      </c>
      <c r="S111" s="110" t="s">
        <v>533</v>
      </c>
      <c r="T111" s="110" t="s">
        <v>533</v>
      </c>
      <c r="U111" s="110" t="s">
        <v>533</v>
      </c>
    </row>
    <row r="112" spans="10:21" ht="16" thickBot="1">
      <c r="J112" s="84" t="s">
        <v>845</v>
      </c>
      <c r="K112" s="110">
        <v>29.9</v>
      </c>
      <c r="L112" s="110" t="s">
        <v>533</v>
      </c>
      <c r="M112" s="110" t="s">
        <v>533</v>
      </c>
      <c r="N112" s="110" t="s">
        <v>533</v>
      </c>
      <c r="Q112" s="84" t="s">
        <v>832</v>
      </c>
      <c r="R112" s="110" t="s">
        <v>533</v>
      </c>
      <c r="S112" s="110" t="s">
        <v>533</v>
      </c>
      <c r="T112" s="110" t="s">
        <v>533</v>
      </c>
      <c r="U112" s="110" t="s">
        <v>533</v>
      </c>
    </row>
    <row r="113" spans="10:21" ht="16" thickBot="1">
      <c r="J113" s="84" t="s">
        <v>847</v>
      </c>
      <c r="K113" s="110">
        <v>29.9</v>
      </c>
      <c r="L113" s="110" t="s">
        <v>533</v>
      </c>
      <c r="M113" s="110" t="s">
        <v>533</v>
      </c>
      <c r="N113" s="110" t="s">
        <v>533</v>
      </c>
      <c r="Q113" s="84" t="s">
        <v>834</v>
      </c>
      <c r="R113" s="110" t="s">
        <v>533</v>
      </c>
      <c r="S113" s="110" t="s">
        <v>533</v>
      </c>
      <c r="T113" s="110" t="s">
        <v>533</v>
      </c>
      <c r="U113" s="110" t="s">
        <v>533</v>
      </c>
    </row>
    <row r="114" spans="10:21" ht="16" thickBot="1">
      <c r="J114" s="84" t="s">
        <v>849</v>
      </c>
      <c r="K114" s="110" t="s">
        <v>533</v>
      </c>
      <c r="L114" s="110" t="s">
        <v>533</v>
      </c>
      <c r="M114" s="110" t="s">
        <v>533</v>
      </c>
      <c r="N114" s="110" t="s">
        <v>533</v>
      </c>
      <c r="Q114" s="84" t="s">
        <v>836</v>
      </c>
      <c r="R114" s="110">
        <v>7.2</v>
      </c>
      <c r="S114" s="110">
        <v>5</v>
      </c>
      <c r="T114" s="110">
        <v>5.2</v>
      </c>
      <c r="U114" s="110">
        <v>5.2</v>
      </c>
    </row>
    <row r="115" spans="10:21" ht="16" thickBot="1">
      <c r="J115" s="84" t="s">
        <v>851</v>
      </c>
      <c r="K115" s="110" t="s">
        <v>533</v>
      </c>
      <c r="L115" s="110" t="s">
        <v>533</v>
      </c>
      <c r="M115" s="110" t="s">
        <v>533</v>
      </c>
      <c r="N115" s="110" t="s">
        <v>533</v>
      </c>
      <c r="Q115" s="84" t="s">
        <v>838</v>
      </c>
      <c r="R115" s="110" t="s">
        <v>533</v>
      </c>
      <c r="S115" s="110" t="s">
        <v>533</v>
      </c>
      <c r="T115" s="110" t="s">
        <v>533</v>
      </c>
      <c r="U115" s="110" t="s">
        <v>533</v>
      </c>
    </row>
    <row r="116" spans="10:21" ht="16" thickBot="1">
      <c r="J116" s="84" t="s">
        <v>853</v>
      </c>
      <c r="K116" s="110" t="s">
        <v>533</v>
      </c>
      <c r="L116" s="110" t="s">
        <v>533</v>
      </c>
      <c r="M116" s="110" t="s">
        <v>533</v>
      </c>
      <c r="N116" s="110" t="s">
        <v>533</v>
      </c>
      <c r="Q116" s="84" t="s">
        <v>840</v>
      </c>
      <c r="R116" s="110">
        <v>15.1</v>
      </c>
      <c r="S116" s="110">
        <v>16.8</v>
      </c>
      <c r="T116" s="110">
        <v>7.9</v>
      </c>
      <c r="U116" s="110">
        <v>8.4</v>
      </c>
    </row>
    <row r="117" spans="10:21" ht="16" thickBot="1">
      <c r="J117" s="84" t="s">
        <v>855</v>
      </c>
      <c r="K117" s="110" t="s">
        <v>533</v>
      </c>
      <c r="L117" s="110" t="s">
        <v>533</v>
      </c>
      <c r="M117" s="110" t="s">
        <v>533</v>
      </c>
      <c r="N117" s="110" t="s">
        <v>533</v>
      </c>
      <c r="Q117" s="84" t="s">
        <v>842</v>
      </c>
      <c r="R117" s="110" t="s">
        <v>533</v>
      </c>
      <c r="S117" s="110" t="s">
        <v>533</v>
      </c>
      <c r="T117" s="110" t="s">
        <v>533</v>
      </c>
      <c r="U117" s="110" t="s">
        <v>533</v>
      </c>
    </row>
    <row r="118" spans="10:21" ht="16" thickBot="1">
      <c r="J118" s="84" t="s">
        <v>857</v>
      </c>
      <c r="K118" s="110" t="s">
        <v>533</v>
      </c>
      <c r="L118" s="110" t="s">
        <v>533</v>
      </c>
      <c r="M118" s="110" t="s">
        <v>533</v>
      </c>
      <c r="N118" s="110" t="s">
        <v>533</v>
      </c>
      <c r="Q118" s="84" t="s">
        <v>844</v>
      </c>
      <c r="R118" s="110" t="s">
        <v>533</v>
      </c>
      <c r="S118" s="110" t="s">
        <v>533</v>
      </c>
      <c r="T118" s="110" t="s">
        <v>533</v>
      </c>
      <c r="U118" s="110" t="s">
        <v>533</v>
      </c>
    </row>
    <row r="119" spans="10:21" ht="16" thickBot="1">
      <c r="J119" s="84" t="s">
        <v>859</v>
      </c>
      <c r="K119" s="110" t="s">
        <v>533</v>
      </c>
      <c r="L119" s="110" t="s">
        <v>533</v>
      </c>
      <c r="M119" s="110" t="s">
        <v>533</v>
      </c>
      <c r="N119" s="110" t="s">
        <v>533</v>
      </c>
      <c r="Q119" s="84" t="s">
        <v>846</v>
      </c>
      <c r="R119" s="110" t="s">
        <v>533</v>
      </c>
      <c r="S119" s="110" t="s">
        <v>533</v>
      </c>
      <c r="T119" s="110" t="s">
        <v>533</v>
      </c>
      <c r="U119" s="110" t="s">
        <v>533</v>
      </c>
    </row>
    <row r="120" spans="10:21" ht="16" thickBot="1">
      <c r="J120" s="84" t="s">
        <v>861</v>
      </c>
      <c r="K120" s="110">
        <v>0.8</v>
      </c>
      <c r="L120" s="110">
        <v>0.7</v>
      </c>
      <c r="M120" s="110">
        <v>0.7</v>
      </c>
      <c r="N120" s="110">
        <v>0.8</v>
      </c>
      <c r="Q120" s="84" t="s">
        <v>848</v>
      </c>
      <c r="R120" s="110" t="s">
        <v>533</v>
      </c>
      <c r="S120" s="110" t="s">
        <v>533</v>
      </c>
      <c r="T120" s="110" t="s">
        <v>533</v>
      </c>
      <c r="U120" s="110" t="s">
        <v>533</v>
      </c>
    </row>
    <row r="121" spans="10:21" ht="16" thickBot="1">
      <c r="J121" s="84" t="s">
        <v>863</v>
      </c>
      <c r="K121" s="110" t="s">
        <v>533</v>
      </c>
      <c r="L121" s="110" t="s">
        <v>533</v>
      </c>
      <c r="M121" s="110" t="s">
        <v>533</v>
      </c>
      <c r="N121" s="110" t="s">
        <v>533</v>
      </c>
      <c r="Q121" s="84" t="s">
        <v>850</v>
      </c>
      <c r="R121" s="110">
        <v>-2</v>
      </c>
      <c r="S121" s="110">
        <v>2.5</v>
      </c>
      <c r="T121" s="110">
        <v>2.7</v>
      </c>
      <c r="U121" s="110">
        <v>2.7</v>
      </c>
    </row>
    <row r="122" spans="10:21" ht="16" thickBot="1">
      <c r="J122" s="84" t="s">
        <v>865</v>
      </c>
      <c r="K122" s="110" t="s">
        <v>533</v>
      </c>
      <c r="L122" s="110" t="s">
        <v>533</v>
      </c>
      <c r="M122" s="110" t="s">
        <v>533</v>
      </c>
      <c r="N122" s="110" t="s">
        <v>533</v>
      </c>
      <c r="Q122" s="84" t="s">
        <v>852</v>
      </c>
      <c r="R122" s="110" t="s">
        <v>533</v>
      </c>
      <c r="S122" s="110" t="s">
        <v>533</v>
      </c>
      <c r="T122" s="110" t="s">
        <v>533</v>
      </c>
      <c r="U122" s="110" t="s">
        <v>533</v>
      </c>
    </row>
    <row r="123" spans="10:21" ht="16" thickBot="1">
      <c r="J123" s="84" t="s">
        <v>867</v>
      </c>
      <c r="K123" s="110" t="s">
        <v>533</v>
      </c>
      <c r="L123" s="110" t="s">
        <v>533</v>
      </c>
      <c r="M123" s="110" t="s">
        <v>533</v>
      </c>
      <c r="N123" s="110" t="s">
        <v>533</v>
      </c>
      <c r="Q123" s="84" t="s">
        <v>854</v>
      </c>
      <c r="R123" s="110" t="s">
        <v>533</v>
      </c>
      <c r="S123" s="110">
        <v>3.2</v>
      </c>
      <c r="T123" s="110" t="s">
        <v>533</v>
      </c>
      <c r="U123" s="110" t="s">
        <v>533</v>
      </c>
    </row>
    <row r="124" spans="10:21" ht="16" thickBot="1">
      <c r="J124" s="84" t="s">
        <v>869</v>
      </c>
      <c r="K124" s="110" t="s">
        <v>533</v>
      </c>
      <c r="L124" s="110" t="s">
        <v>533</v>
      </c>
      <c r="M124" s="110" t="s">
        <v>533</v>
      </c>
      <c r="N124" s="110" t="s">
        <v>533</v>
      </c>
      <c r="Q124" s="84" t="s">
        <v>856</v>
      </c>
      <c r="R124" s="110" t="s">
        <v>533</v>
      </c>
      <c r="S124" s="110" t="s">
        <v>533</v>
      </c>
      <c r="T124" s="110" t="s">
        <v>533</v>
      </c>
      <c r="U124" s="110" t="s">
        <v>533</v>
      </c>
    </row>
    <row r="125" spans="10:21" ht="16" thickBot="1">
      <c r="J125" s="84" t="s">
        <v>871</v>
      </c>
      <c r="K125" s="110" t="s">
        <v>533</v>
      </c>
      <c r="L125" s="110" t="s">
        <v>533</v>
      </c>
      <c r="M125" s="110" t="s">
        <v>533</v>
      </c>
      <c r="N125" s="110" t="s">
        <v>533</v>
      </c>
      <c r="Q125" s="84" t="s">
        <v>858</v>
      </c>
      <c r="R125" s="110" t="s">
        <v>533</v>
      </c>
      <c r="S125" s="110" t="s">
        <v>533</v>
      </c>
      <c r="T125" s="110" t="s">
        <v>533</v>
      </c>
      <c r="U125" s="110" t="s">
        <v>533</v>
      </c>
    </row>
    <row r="126" spans="10:21" ht="16" thickBot="1">
      <c r="J126" s="84" t="s">
        <v>873</v>
      </c>
      <c r="K126" s="110">
        <v>0.1</v>
      </c>
      <c r="L126" s="110" t="s">
        <v>533</v>
      </c>
      <c r="M126" s="110" t="s">
        <v>533</v>
      </c>
      <c r="N126" s="110" t="s">
        <v>533</v>
      </c>
      <c r="Q126" s="84" t="s">
        <v>860</v>
      </c>
      <c r="R126" s="110" t="s">
        <v>533</v>
      </c>
      <c r="S126" s="110" t="s">
        <v>533</v>
      </c>
      <c r="T126" s="110" t="s">
        <v>533</v>
      </c>
      <c r="U126" s="110" t="s">
        <v>533</v>
      </c>
    </row>
    <row r="127" spans="10:21" ht="16" thickBot="1">
      <c r="J127" s="84" t="s">
        <v>875</v>
      </c>
      <c r="K127" s="110">
        <v>7.7</v>
      </c>
      <c r="L127" s="110" t="s">
        <v>533</v>
      </c>
      <c r="M127" s="110" t="s">
        <v>533</v>
      </c>
      <c r="N127" s="110" t="s">
        <v>533</v>
      </c>
      <c r="Q127" s="84" t="s">
        <v>862</v>
      </c>
      <c r="R127" s="110">
        <v>6.8</v>
      </c>
      <c r="S127" s="110">
        <v>7.5</v>
      </c>
      <c r="T127" s="110">
        <v>5.4</v>
      </c>
      <c r="U127" s="110">
        <v>4.9000000000000004</v>
      </c>
    </row>
    <row r="128" spans="10:21" ht="16" thickBot="1">
      <c r="J128" s="84" t="s">
        <v>877</v>
      </c>
      <c r="K128" s="110">
        <v>29.8</v>
      </c>
      <c r="L128" s="110">
        <v>37.5</v>
      </c>
      <c r="M128" s="110">
        <v>38.4</v>
      </c>
      <c r="N128" s="110">
        <v>39.200000000000003</v>
      </c>
      <c r="Q128" s="84" t="s">
        <v>864</v>
      </c>
      <c r="R128" s="110">
        <v>1.6</v>
      </c>
      <c r="S128" s="110">
        <v>3.5</v>
      </c>
      <c r="T128" s="110" t="s">
        <v>533</v>
      </c>
      <c r="U128" s="110" t="s">
        <v>533</v>
      </c>
    </row>
    <row r="129" spans="10:21" ht="16" thickBot="1">
      <c r="J129" s="84" t="s">
        <v>879</v>
      </c>
      <c r="K129" s="110" t="s">
        <v>533</v>
      </c>
      <c r="L129" s="110" t="s">
        <v>533</v>
      </c>
      <c r="M129" s="110" t="s">
        <v>533</v>
      </c>
      <c r="N129" s="110" t="s">
        <v>533</v>
      </c>
      <c r="Q129" s="84" t="s">
        <v>866</v>
      </c>
      <c r="R129" s="110">
        <v>0</v>
      </c>
      <c r="S129" s="110">
        <v>0</v>
      </c>
      <c r="T129" s="110" t="s">
        <v>533</v>
      </c>
      <c r="U129" s="110" t="s">
        <v>533</v>
      </c>
    </row>
    <row r="130" spans="10:21" ht="16" thickBot="1">
      <c r="J130" s="84" t="s">
        <v>881</v>
      </c>
      <c r="K130" s="110" t="s">
        <v>533</v>
      </c>
      <c r="L130" s="110" t="s">
        <v>533</v>
      </c>
      <c r="M130" s="110" t="s">
        <v>533</v>
      </c>
      <c r="N130" s="110" t="s">
        <v>533</v>
      </c>
      <c r="Q130" s="84" t="s">
        <v>868</v>
      </c>
      <c r="R130" s="110">
        <v>0.1</v>
      </c>
      <c r="S130" s="110">
        <v>0.2</v>
      </c>
      <c r="T130" s="110" t="s">
        <v>533</v>
      </c>
      <c r="U130" s="110" t="s">
        <v>533</v>
      </c>
    </row>
    <row r="131" spans="10:21" ht="16" thickBot="1">
      <c r="J131" s="84" t="s">
        <v>883</v>
      </c>
      <c r="K131" s="110" t="s">
        <v>533</v>
      </c>
      <c r="L131" s="110" t="s">
        <v>533</v>
      </c>
      <c r="M131" s="110" t="s">
        <v>533</v>
      </c>
      <c r="N131" s="110" t="s">
        <v>533</v>
      </c>
      <c r="Q131" s="84" t="s">
        <v>870</v>
      </c>
      <c r="R131" s="110">
        <v>0.1</v>
      </c>
      <c r="S131" s="110">
        <v>0</v>
      </c>
      <c r="T131" s="110" t="s">
        <v>533</v>
      </c>
      <c r="U131" s="110" t="s">
        <v>533</v>
      </c>
    </row>
    <row r="132" spans="10:21" ht="16" thickBot="1">
      <c r="J132" s="84" t="s">
        <v>885</v>
      </c>
      <c r="K132" s="110" t="s">
        <v>533</v>
      </c>
      <c r="L132" s="110" t="s">
        <v>533</v>
      </c>
      <c r="M132" s="110" t="s">
        <v>533</v>
      </c>
      <c r="N132" s="110" t="s">
        <v>533</v>
      </c>
      <c r="Q132" s="84" t="s">
        <v>872</v>
      </c>
      <c r="R132" s="110" t="s">
        <v>533</v>
      </c>
      <c r="S132" s="110" t="s">
        <v>533</v>
      </c>
      <c r="T132" s="110" t="s">
        <v>533</v>
      </c>
      <c r="U132" s="110" t="s">
        <v>533</v>
      </c>
    </row>
    <row r="133" spans="10:21" ht="16" thickBot="1">
      <c r="J133" s="84" t="s">
        <v>887</v>
      </c>
      <c r="K133" s="87" t="s">
        <v>533</v>
      </c>
      <c r="L133" s="87" t="s">
        <v>533</v>
      </c>
      <c r="M133" s="87" t="s">
        <v>533</v>
      </c>
      <c r="N133" s="87" t="s">
        <v>533</v>
      </c>
      <c r="Q133" s="84" t="s">
        <v>874</v>
      </c>
      <c r="R133" s="110" t="s">
        <v>533</v>
      </c>
      <c r="S133" s="110" t="s">
        <v>533</v>
      </c>
      <c r="T133" s="110" t="s">
        <v>533</v>
      </c>
      <c r="U133" s="110" t="s">
        <v>533</v>
      </c>
    </row>
    <row r="134" spans="10:21" ht="16" thickBot="1">
      <c r="J134" s="84" t="s">
        <v>889</v>
      </c>
      <c r="K134" s="87" t="s">
        <v>533</v>
      </c>
      <c r="L134" s="87" t="s">
        <v>533</v>
      </c>
      <c r="M134" s="87" t="s">
        <v>533</v>
      </c>
      <c r="N134" s="87" t="s">
        <v>533</v>
      </c>
      <c r="Q134" s="84" t="s">
        <v>876</v>
      </c>
      <c r="R134" s="110" t="s">
        <v>533</v>
      </c>
      <c r="S134" s="110" t="s">
        <v>533</v>
      </c>
      <c r="T134" s="110" t="s">
        <v>533</v>
      </c>
      <c r="U134" s="110" t="s">
        <v>533</v>
      </c>
    </row>
    <row r="135" spans="10:21" ht="16" thickBot="1">
      <c r="J135" s="84" t="s">
        <v>891</v>
      </c>
      <c r="K135" s="87" t="s">
        <v>533</v>
      </c>
      <c r="L135" s="87" t="s">
        <v>533</v>
      </c>
      <c r="M135" s="87" t="s">
        <v>533</v>
      </c>
      <c r="N135" s="87" t="s">
        <v>533</v>
      </c>
      <c r="Q135" s="84" t="s">
        <v>878</v>
      </c>
      <c r="R135" s="110" t="s">
        <v>533</v>
      </c>
      <c r="S135" s="110" t="s">
        <v>533</v>
      </c>
      <c r="T135" s="110" t="s">
        <v>533</v>
      </c>
      <c r="U135" s="110" t="s">
        <v>533</v>
      </c>
    </row>
    <row r="136" spans="10:21" ht="16" thickBot="1">
      <c r="J136" s="84" t="s">
        <v>893</v>
      </c>
      <c r="K136" s="110" t="s">
        <v>533</v>
      </c>
      <c r="L136" s="110" t="s">
        <v>533</v>
      </c>
      <c r="M136" s="110" t="s">
        <v>533</v>
      </c>
      <c r="N136" s="110" t="s">
        <v>533</v>
      </c>
      <c r="Q136" s="84" t="s">
        <v>880</v>
      </c>
      <c r="R136" s="110" t="s">
        <v>533</v>
      </c>
      <c r="S136" s="110" t="s">
        <v>533</v>
      </c>
      <c r="T136" s="110" t="s">
        <v>533</v>
      </c>
      <c r="U136" s="110" t="s">
        <v>533</v>
      </c>
    </row>
    <row r="137" spans="10:21" ht="16" thickBot="1">
      <c r="J137" s="84" t="s">
        <v>895</v>
      </c>
      <c r="K137" s="110" t="s">
        <v>533</v>
      </c>
      <c r="L137" s="110" t="s">
        <v>533</v>
      </c>
      <c r="M137" s="110" t="s">
        <v>533</v>
      </c>
      <c r="N137" s="110" t="s">
        <v>533</v>
      </c>
      <c r="Q137" s="84" t="s">
        <v>882</v>
      </c>
      <c r="R137" s="110" t="s">
        <v>533</v>
      </c>
      <c r="S137" s="110" t="s">
        <v>533</v>
      </c>
      <c r="T137" s="110" t="s">
        <v>533</v>
      </c>
      <c r="U137" s="110" t="s">
        <v>533</v>
      </c>
    </row>
    <row r="138" spans="10:21" ht="16" thickBot="1">
      <c r="J138" s="84" t="s">
        <v>897</v>
      </c>
      <c r="K138" s="110" t="s">
        <v>533</v>
      </c>
      <c r="L138" s="110" t="s">
        <v>533</v>
      </c>
      <c r="M138" s="110" t="s">
        <v>533</v>
      </c>
      <c r="N138" s="110" t="s">
        <v>533</v>
      </c>
      <c r="Q138" s="84" t="s">
        <v>884</v>
      </c>
      <c r="R138" s="110" t="s">
        <v>533</v>
      </c>
      <c r="S138" s="110" t="s">
        <v>533</v>
      </c>
      <c r="T138" s="110" t="s">
        <v>533</v>
      </c>
      <c r="U138" s="110" t="s">
        <v>533</v>
      </c>
    </row>
    <row r="139" spans="10:21" ht="16" thickBot="1">
      <c r="J139" s="84" t="s">
        <v>899</v>
      </c>
      <c r="K139" s="110" t="s">
        <v>533</v>
      </c>
      <c r="L139" s="110" t="s">
        <v>533</v>
      </c>
      <c r="M139" s="110" t="s">
        <v>533</v>
      </c>
      <c r="N139" s="110" t="s">
        <v>533</v>
      </c>
      <c r="Q139" s="84" t="s">
        <v>886</v>
      </c>
      <c r="R139" s="110" t="s">
        <v>533</v>
      </c>
      <c r="S139" s="110" t="s">
        <v>533</v>
      </c>
      <c r="T139" s="110" t="s">
        <v>533</v>
      </c>
      <c r="U139" s="110" t="s">
        <v>533</v>
      </c>
    </row>
    <row r="140" spans="10:21" ht="16" thickBot="1">
      <c r="J140" s="84" t="s">
        <v>901</v>
      </c>
      <c r="K140" s="110" t="s">
        <v>533</v>
      </c>
      <c r="L140" s="110" t="s">
        <v>533</v>
      </c>
      <c r="M140" s="110" t="s">
        <v>533</v>
      </c>
      <c r="N140" s="110" t="s">
        <v>533</v>
      </c>
      <c r="Q140" s="84" t="s">
        <v>888</v>
      </c>
      <c r="R140" s="87" t="s">
        <v>533</v>
      </c>
      <c r="S140" s="87" t="s">
        <v>533</v>
      </c>
      <c r="T140" s="87" t="s">
        <v>533</v>
      </c>
      <c r="U140" s="87" t="s">
        <v>533</v>
      </c>
    </row>
    <row r="141" spans="10:21" ht="16" thickBot="1">
      <c r="J141" s="84" t="s">
        <v>903</v>
      </c>
      <c r="K141" s="110" t="s">
        <v>533</v>
      </c>
      <c r="L141" s="110" t="s">
        <v>533</v>
      </c>
      <c r="M141" s="110" t="s">
        <v>533</v>
      </c>
      <c r="N141" s="110" t="s">
        <v>533</v>
      </c>
      <c r="Q141" s="84" t="s">
        <v>890</v>
      </c>
      <c r="R141" s="110" t="s">
        <v>533</v>
      </c>
      <c r="S141" s="110" t="s">
        <v>533</v>
      </c>
      <c r="T141" s="110" t="s">
        <v>533</v>
      </c>
      <c r="U141" s="110" t="s">
        <v>533</v>
      </c>
    </row>
    <row r="142" spans="10:21" ht="16" thickBot="1">
      <c r="J142" s="84" t="s">
        <v>905</v>
      </c>
      <c r="K142" s="110" t="s">
        <v>533</v>
      </c>
      <c r="L142" s="110" t="s">
        <v>533</v>
      </c>
      <c r="M142" s="110" t="s">
        <v>533</v>
      </c>
      <c r="N142" s="110" t="s">
        <v>533</v>
      </c>
      <c r="Q142" s="84" t="s">
        <v>892</v>
      </c>
      <c r="R142" s="110" t="s">
        <v>533</v>
      </c>
      <c r="S142" s="110" t="s">
        <v>533</v>
      </c>
      <c r="T142" s="110" t="s">
        <v>533</v>
      </c>
      <c r="U142" s="110" t="s">
        <v>533</v>
      </c>
    </row>
    <row r="143" spans="10:21" ht="16" thickBot="1">
      <c r="J143" s="84" t="s">
        <v>907</v>
      </c>
      <c r="K143" s="87" t="s">
        <v>533</v>
      </c>
      <c r="L143" s="87" t="s">
        <v>533</v>
      </c>
      <c r="M143" s="87" t="s">
        <v>533</v>
      </c>
      <c r="N143" s="87" t="s">
        <v>533</v>
      </c>
      <c r="Q143" s="84" t="s">
        <v>894</v>
      </c>
      <c r="R143" s="88" t="s">
        <v>533</v>
      </c>
      <c r="S143" s="88" t="s">
        <v>533</v>
      </c>
      <c r="T143" s="88" t="s">
        <v>533</v>
      </c>
      <c r="U143" s="88" t="s">
        <v>533</v>
      </c>
    </row>
    <row r="144" spans="10:21" ht="16" thickBot="1">
      <c r="J144" s="84" t="s">
        <v>909</v>
      </c>
      <c r="K144" s="87" t="s">
        <v>533</v>
      </c>
      <c r="L144" s="87" t="s">
        <v>533</v>
      </c>
      <c r="M144" s="87" t="s">
        <v>533</v>
      </c>
      <c r="N144" s="87" t="s">
        <v>533</v>
      </c>
      <c r="Q144" s="84" t="s">
        <v>896</v>
      </c>
      <c r="R144" s="88" t="s">
        <v>533</v>
      </c>
      <c r="S144" s="88" t="s">
        <v>533</v>
      </c>
      <c r="T144" s="88" t="s">
        <v>533</v>
      </c>
      <c r="U144" s="88" t="s">
        <v>533</v>
      </c>
    </row>
    <row r="145" spans="10:21" ht="16" thickBot="1">
      <c r="J145" s="84" t="s">
        <v>911</v>
      </c>
      <c r="K145" s="87" t="s">
        <v>533</v>
      </c>
      <c r="L145" s="87" t="s">
        <v>533</v>
      </c>
      <c r="M145" s="87" t="s">
        <v>533</v>
      </c>
      <c r="N145" s="87" t="s">
        <v>533</v>
      </c>
      <c r="Q145" s="84" t="s">
        <v>898</v>
      </c>
      <c r="R145" s="110" t="s">
        <v>533</v>
      </c>
      <c r="S145" s="110" t="s">
        <v>533</v>
      </c>
      <c r="T145" s="110" t="s">
        <v>533</v>
      </c>
      <c r="U145" s="110" t="s">
        <v>533</v>
      </c>
    </row>
    <row r="146" spans="10:21" ht="16" thickBot="1">
      <c r="J146" s="84" t="s">
        <v>913</v>
      </c>
      <c r="K146" s="87" t="s">
        <v>533</v>
      </c>
      <c r="L146" s="87" t="s">
        <v>533</v>
      </c>
      <c r="M146" s="87" t="s">
        <v>533</v>
      </c>
      <c r="N146" s="87" t="s">
        <v>533</v>
      </c>
      <c r="Q146" s="84" t="s">
        <v>900</v>
      </c>
      <c r="R146" s="110" t="s">
        <v>533</v>
      </c>
      <c r="S146" s="110" t="s">
        <v>533</v>
      </c>
      <c r="T146" s="110" t="s">
        <v>533</v>
      </c>
      <c r="U146" s="110" t="s">
        <v>533</v>
      </c>
    </row>
    <row r="147" spans="10:21" ht="16" thickBot="1">
      <c r="J147" s="84" t="s">
        <v>915</v>
      </c>
      <c r="K147" s="87" t="s">
        <v>533</v>
      </c>
      <c r="L147" s="87" t="s">
        <v>533</v>
      </c>
      <c r="M147" s="87" t="s">
        <v>533</v>
      </c>
      <c r="N147" s="87" t="s">
        <v>533</v>
      </c>
      <c r="Q147" s="84" t="s">
        <v>902</v>
      </c>
      <c r="R147" s="110" t="s">
        <v>533</v>
      </c>
      <c r="S147" s="110" t="s">
        <v>533</v>
      </c>
      <c r="T147" s="110" t="s">
        <v>533</v>
      </c>
      <c r="U147" s="110" t="s">
        <v>533</v>
      </c>
    </row>
    <row r="148" spans="10:21" ht="16" thickBot="1">
      <c r="J148" s="84" t="s">
        <v>917</v>
      </c>
      <c r="K148" s="110" t="s">
        <v>533</v>
      </c>
      <c r="L148" s="110" t="s">
        <v>533</v>
      </c>
      <c r="M148" s="110" t="s">
        <v>533</v>
      </c>
      <c r="N148" s="110" t="s">
        <v>533</v>
      </c>
      <c r="Q148" s="84" t="s">
        <v>904</v>
      </c>
      <c r="R148" s="110" t="s">
        <v>533</v>
      </c>
      <c r="S148" s="110" t="s">
        <v>533</v>
      </c>
      <c r="T148" s="110" t="s">
        <v>533</v>
      </c>
      <c r="U148" s="110" t="s">
        <v>533</v>
      </c>
    </row>
    <row r="149" spans="10:21" ht="16" thickBot="1">
      <c r="J149" s="84" t="s">
        <v>919</v>
      </c>
      <c r="K149" s="110" t="s">
        <v>533</v>
      </c>
      <c r="L149" s="110" t="s">
        <v>533</v>
      </c>
      <c r="M149" s="110" t="s">
        <v>533</v>
      </c>
      <c r="N149" s="110" t="s">
        <v>533</v>
      </c>
      <c r="Q149" s="84" t="s">
        <v>906</v>
      </c>
      <c r="R149" s="110" t="s">
        <v>533</v>
      </c>
      <c r="S149" s="110" t="s">
        <v>533</v>
      </c>
      <c r="T149" s="110" t="s">
        <v>533</v>
      </c>
      <c r="U149" s="110" t="s">
        <v>533</v>
      </c>
    </row>
    <row r="150" spans="10:21" ht="16" thickBot="1">
      <c r="J150" s="84" t="s">
        <v>921</v>
      </c>
      <c r="K150" s="110" t="s">
        <v>533</v>
      </c>
      <c r="L150" s="110" t="s">
        <v>533</v>
      </c>
      <c r="M150" s="110" t="s">
        <v>533</v>
      </c>
      <c r="N150" s="110" t="s">
        <v>533</v>
      </c>
      <c r="Q150" s="84" t="s">
        <v>908</v>
      </c>
      <c r="R150" s="110" t="s">
        <v>533</v>
      </c>
      <c r="S150" s="110" t="s">
        <v>533</v>
      </c>
      <c r="T150" s="110" t="s">
        <v>533</v>
      </c>
      <c r="U150" s="110" t="s">
        <v>533</v>
      </c>
    </row>
    <row r="151" spans="10:21" ht="16" thickBot="1">
      <c r="J151" s="84" t="s">
        <v>923</v>
      </c>
      <c r="K151" s="110" t="s">
        <v>533</v>
      </c>
      <c r="L151" s="110" t="s">
        <v>533</v>
      </c>
      <c r="M151" s="110" t="s">
        <v>533</v>
      </c>
      <c r="N151" s="110" t="s">
        <v>533</v>
      </c>
      <c r="Q151" s="84" t="s">
        <v>910</v>
      </c>
      <c r="R151" s="110" t="s">
        <v>533</v>
      </c>
      <c r="S151" s="110" t="s">
        <v>533</v>
      </c>
      <c r="T151" s="110" t="s">
        <v>533</v>
      </c>
      <c r="U151" s="110" t="s">
        <v>533</v>
      </c>
    </row>
    <row r="152" spans="10:21" ht="16" thickBot="1">
      <c r="J152" s="84" t="s">
        <v>925</v>
      </c>
      <c r="K152" s="110" t="s">
        <v>533</v>
      </c>
      <c r="L152" s="110" t="s">
        <v>533</v>
      </c>
      <c r="M152" s="110" t="s">
        <v>533</v>
      </c>
      <c r="N152" s="110" t="s">
        <v>533</v>
      </c>
      <c r="Q152" s="84" t="s">
        <v>912</v>
      </c>
      <c r="R152" s="110" t="s">
        <v>533</v>
      </c>
      <c r="S152" s="110" t="s">
        <v>533</v>
      </c>
      <c r="T152" s="110" t="s">
        <v>533</v>
      </c>
      <c r="U152" s="110" t="s">
        <v>533</v>
      </c>
    </row>
    <row r="153" spans="10:21" ht="16" thickBot="1">
      <c r="J153" s="84" t="s">
        <v>927</v>
      </c>
      <c r="K153" s="110" t="s">
        <v>533</v>
      </c>
      <c r="L153" s="110" t="s">
        <v>533</v>
      </c>
      <c r="M153" s="110" t="s">
        <v>533</v>
      </c>
      <c r="N153" s="110" t="s">
        <v>533</v>
      </c>
      <c r="Q153" s="84" t="s">
        <v>914</v>
      </c>
      <c r="R153" s="110" t="s">
        <v>533</v>
      </c>
      <c r="S153" s="110" t="s">
        <v>533</v>
      </c>
      <c r="T153" s="110" t="s">
        <v>533</v>
      </c>
      <c r="U153" s="110" t="s">
        <v>533</v>
      </c>
    </row>
    <row r="154" spans="10:21" ht="16" thickBot="1">
      <c r="J154" s="84" t="s">
        <v>929</v>
      </c>
      <c r="K154" s="110" t="s">
        <v>533</v>
      </c>
      <c r="L154" s="110" t="s">
        <v>533</v>
      </c>
      <c r="M154" s="110" t="s">
        <v>533</v>
      </c>
      <c r="N154" s="110" t="s">
        <v>533</v>
      </c>
      <c r="Q154" s="84" t="s">
        <v>916</v>
      </c>
      <c r="R154" s="110" t="s">
        <v>533</v>
      </c>
      <c r="S154" s="110" t="s">
        <v>533</v>
      </c>
      <c r="T154" s="110" t="s">
        <v>533</v>
      </c>
      <c r="U154" s="110" t="s">
        <v>533</v>
      </c>
    </row>
    <row r="155" spans="10:21" ht="16" thickBot="1">
      <c r="J155" s="84" t="s">
        <v>931</v>
      </c>
      <c r="K155" s="110">
        <v>73.5</v>
      </c>
      <c r="L155" s="110">
        <v>138.1</v>
      </c>
      <c r="M155" s="110">
        <v>96.9</v>
      </c>
      <c r="N155" s="110">
        <v>115.4</v>
      </c>
      <c r="Q155" s="84" t="s">
        <v>918</v>
      </c>
      <c r="R155" s="110">
        <v>-49.8</v>
      </c>
      <c r="S155" s="110">
        <v>-24.7</v>
      </c>
      <c r="T155" s="110">
        <v>-13.5</v>
      </c>
      <c r="U155" s="110">
        <v>-31.5</v>
      </c>
    </row>
    <row r="156" spans="10:21" ht="16" thickBot="1">
      <c r="J156" s="84" t="s">
        <v>933</v>
      </c>
      <c r="K156" s="110">
        <v>0</v>
      </c>
      <c r="L156" s="110">
        <v>0</v>
      </c>
      <c r="M156" s="110" t="s">
        <v>533</v>
      </c>
      <c r="N156" s="110" t="s">
        <v>533</v>
      </c>
      <c r="Q156" s="84" t="s">
        <v>920</v>
      </c>
      <c r="R156" s="110">
        <v>-47</v>
      </c>
      <c r="S156" s="110">
        <v>-20.5</v>
      </c>
      <c r="T156" s="110">
        <v>-8.5</v>
      </c>
      <c r="U156" s="110">
        <v>-23.8</v>
      </c>
    </row>
    <row r="157" spans="10:21" ht="16" thickBot="1">
      <c r="J157" s="84" t="s">
        <v>935</v>
      </c>
      <c r="K157" s="110">
        <v>35</v>
      </c>
      <c r="L157" s="110">
        <v>35</v>
      </c>
      <c r="M157" s="110" t="s">
        <v>533</v>
      </c>
      <c r="N157" s="110" t="s">
        <v>533</v>
      </c>
      <c r="Q157" s="79" t="s">
        <v>922</v>
      </c>
      <c r="R157" s="79"/>
      <c r="S157" s="79"/>
      <c r="T157" s="79"/>
      <c r="U157" s="79"/>
    </row>
    <row r="158" spans="10:21" ht="16" thickBot="1">
      <c r="J158" s="84" t="s">
        <v>937</v>
      </c>
      <c r="K158" s="110" t="s">
        <v>533</v>
      </c>
      <c r="L158" s="110" t="s">
        <v>533</v>
      </c>
      <c r="M158" s="110" t="s">
        <v>533</v>
      </c>
      <c r="N158" s="110" t="s">
        <v>533</v>
      </c>
      <c r="Q158" s="80" t="s">
        <v>924</v>
      </c>
      <c r="R158" s="91">
        <v>0.1</v>
      </c>
      <c r="S158" s="91">
        <v>0.1</v>
      </c>
      <c r="T158" s="91">
        <v>0.1</v>
      </c>
      <c r="U158" s="91">
        <v>0.1</v>
      </c>
    </row>
    <row r="159" spans="10:21" ht="16" thickBot="1">
      <c r="J159" s="84" t="s">
        <v>939</v>
      </c>
      <c r="K159" s="110" t="s">
        <v>533</v>
      </c>
      <c r="L159" s="110" t="s">
        <v>533</v>
      </c>
      <c r="M159" s="110" t="s">
        <v>533</v>
      </c>
      <c r="N159" s="110" t="s">
        <v>533</v>
      </c>
      <c r="Q159" s="82" t="s">
        <v>926</v>
      </c>
      <c r="R159" s="109">
        <v>0</v>
      </c>
      <c r="S159" s="109">
        <v>0</v>
      </c>
      <c r="T159" s="109">
        <v>0</v>
      </c>
      <c r="U159" s="109">
        <v>0</v>
      </c>
    </row>
    <row r="160" spans="10:21" ht="16" thickBot="1">
      <c r="J160" s="84" t="s">
        <v>941</v>
      </c>
      <c r="K160" s="110" t="s">
        <v>533</v>
      </c>
      <c r="L160" s="110" t="s">
        <v>533</v>
      </c>
      <c r="M160" s="110" t="s">
        <v>533</v>
      </c>
      <c r="N160" s="110" t="s">
        <v>533</v>
      </c>
      <c r="Q160" s="82" t="s">
        <v>1131</v>
      </c>
      <c r="R160" s="109">
        <v>0.1</v>
      </c>
      <c r="S160" s="109">
        <v>0.1</v>
      </c>
      <c r="T160" s="109">
        <v>0.1</v>
      </c>
      <c r="U160" s="109">
        <v>0.1</v>
      </c>
    </row>
    <row r="161" spans="10:21" ht="16" thickBot="1">
      <c r="J161" s="84" t="s">
        <v>943</v>
      </c>
      <c r="K161" s="110" t="s">
        <v>533</v>
      </c>
      <c r="L161" s="110" t="s">
        <v>533</v>
      </c>
      <c r="M161" s="110" t="s">
        <v>533</v>
      </c>
      <c r="N161" s="110" t="s">
        <v>533</v>
      </c>
      <c r="Q161" s="84" t="s">
        <v>930</v>
      </c>
      <c r="R161" s="110" t="s">
        <v>533</v>
      </c>
      <c r="S161" s="110" t="s">
        <v>533</v>
      </c>
      <c r="T161" s="110" t="s">
        <v>533</v>
      </c>
      <c r="U161" s="110" t="s">
        <v>533</v>
      </c>
    </row>
    <row r="162" spans="10:21" ht="16" thickBot="1">
      <c r="J162" s="84" t="s">
        <v>945</v>
      </c>
      <c r="K162" s="110" t="s">
        <v>533</v>
      </c>
      <c r="L162" s="110" t="s">
        <v>533</v>
      </c>
      <c r="M162" s="110" t="s">
        <v>533</v>
      </c>
      <c r="N162" s="110" t="s">
        <v>533</v>
      </c>
      <c r="Q162" s="84" t="s">
        <v>936</v>
      </c>
      <c r="R162" s="110">
        <v>0.1</v>
      </c>
      <c r="S162" s="110">
        <v>0.1</v>
      </c>
      <c r="T162" s="110">
        <v>0.1</v>
      </c>
      <c r="U162" s="110">
        <v>0.1</v>
      </c>
    </row>
    <row r="163" spans="10:21" ht="16" thickBot="1">
      <c r="J163" s="84" t="s">
        <v>947</v>
      </c>
      <c r="K163" s="110">
        <v>-15.1</v>
      </c>
      <c r="L163" s="110">
        <v>-93.2</v>
      </c>
      <c r="M163" s="110">
        <v>312.7</v>
      </c>
      <c r="N163" s="110">
        <v>291.39999999999998</v>
      </c>
      <c r="Q163" s="84" t="s">
        <v>938</v>
      </c>
      <c r="R163" s="110" t="s">
        <v>533</v>
      </c>
      <c r="S163" s="110" t="s">
        <v>533</v>
      </c>
      <c r="T163" s="110" t="s">
        <v>533</v>
      </c>
      <c r="U163" s="110" t="s">
        <v>533</v>
      </c>
    </row>
    <row r="164" spans="10:21" ht="16" thickBot="1">
      <c r="J164" s="84" t="s">
        <v>949</v>
      </c>
      <c r="K164" s="110">
        <v>143.80000000000001</v>
      </c>
      <c r="L164" s="110">
        <v>176.4</v>
      </c>
      <c r="M164" s="110">
        <v>-239.6</v>
      </c>
      <c r="N164" s="110">
        <v>-233.1</v>
      </c>
      <c r="Q164" s="84" t="s">
        <v>940</v>
      </c>
      <c r="R164" s="110" t="s">
        <v>533</v>
      </c>
      <c r="S164" s="110" t="s">
        <v>533</v>
      </c>
      <c r="T164" s="110" t="s">
        <v>533</v>
      </c>
      <c r="U164" s="110" t="s">
        <v>533</v>
      </c>
    </row>
    <row r="165" spans="10:21" ht="16" thickBot="1">
      <c r="J165" s="84" t="s">
        <v>951</v>
      </c>
      <c r="K165" s="110" t="s">
        <v>533</v>
      </c>
      <c r="L165" s="110" t="s">
        <v>533</v>
      </c>
      <c r="M165" s="110" t="s">
        <v>533</v>
      </c>
      <c r="N165" s="110" t="s">
        <v>533</v>
      </c>
      <c r="Q165" s="84" t="s">
        <v>954</v>
      </c>
      <c r="R165" s="110" t="s">
        <v>533</v>
      </c>
      <c r="S165" s="110" t="s">
        <v>533</v>
      </c>
      <c r="T165" s="110" t="s">
        <v>533</v>
      </c>
      <c r="U165" s="110" t="s">
        <v>533</v>
      </c>
    </row>
    <row r="166" spans="10:21" ht="16" thickBot="1">
      <c r="J166" s="84" t="s">
        <v>953</v>
      </c>
      <c r="K166" s="110" t="s">
        <v>533</v>
      </c>
      <c r="L166" s="110" t="s">
        <v>533</v>
      </c>
      <c r="M166" s="110" t="s">
        <v>533</v>
      </c>
      <c r="N166" s="110" t="s">
        <v>533</v>
      </c>
      <c r="Q166" s="84" t="s">
        <v>956</v>
      </c>
      <c r="R166" s="110" t="s">
        <v>533</v>
      </c>
      <c r="S166" s="110" t="s">
        <v>533</v>
      </c>
      <c r="T166" s="110" t="s">
        <v>533</v>
      </c>
      <c r="U166" s="110" t="s">
        <v>533</v>
      </c>
    </row>
    <row r="167" spans="10:21" ht="16" thickBot="1">
      <c r="J167" s="84" t="s">
        <v>955</v>
      </c>
      <c r="K167" s="110" t="s">
        <v>533</v>
      </c>
      <c r="L167" s="110" t="s">
        <v>533</v>
      </c>
      <c r="M167" s="110" t="s">
        <v>533</v>
      </c>
      <c r="N167" s="110" t="s">
        <v>533</v>
      </c>
      <c r="Q167" s="84" t="s">
        <v>970</v>
      </c>
      <c r="R167" s="110" t="s">
        <v>533</v>
      </c>
      <c r="S167" s="110" t="s">
        <v>533</v>
      </c>
      <c r="T167" s="110" t="s">
        <v>533</v>
      </c>
      <c r="U167" s="110" t="s">
        <v>533</v>
      </c>
    </row>
    <row r="168" spans="10:21" ht="16" thickBot="1">
      <c r="J168" s="84" t="s">
        <v>957</v>
      </c>
      <c r="K168" s="110" t="s">
        <v>533</v>
      </c>
      <c r="L168" s="110" t="s">
        <v>533</v>
      </c>
      <c r="M168" s="110" t="s">
        <v>533</v>
      </c>
      <c r="N168" s="110" t="s">
        <v>533</v>
      </c>
      <c r="Q168" s="84" t="s">
        <v>975</v>
      </c>
      <c r="R168" s="110" t="s">
        <v>533</v>
      </c>
      <c r="S168" s="110" t="s">
        <v>533</v>
      </c>
      <c r="T168" s="110" t="s">
        <v>533</v>
      </c>
      <c r="U168" s="110" t="s">
        <v>533</v>
      </c>
    </row>
    <row r="169" spans="10:21" ht="16" thickBot="1">
      <c r="J169" s="84" t="s">
        <v>959</v>
      </c>
      <c r="K169" s="110" t="s">
        <v>533</v>
      </c>
      <c r="L169" s="110" t="s">
        <v>533</v>
      </c>
      <c r="M169" s="110" t="s">
        <v>533</v>
      </c>
      <c r="N169" s="110" t="s">
        <v>533</v>
      </c>
      <c r="Q169" s="84" t="s">
        <v>987</v>
      </c>
      <c r="R169" s="110" t="s">
        <v>533</v>
      </c>
      <c r="S169" s="110" t="s">
        <v>533</v>
      </c>
      <c r="T169" s="110" t="s">
        <v>533</v>
      </c>
      <c r="U169" s="110" t="s">
        <v>533</v>
      </c>
    </row>
    <row r="170" spans="10:21" ht="16" thickBot="1">
      <c r="J170" s="84" t="s">
        <v>961</v>
      </c>
      <c r="K170" s="88" t="s">
        <v>533</v>
      </c>
      <c r="L170" s="88" t="s">
        <v>533</v>
      </c>
      <c r="M170" s="88" t="s">
        <v>533</v>
      </c>
      <c r="N170" s="88" t="s">
        <v>533</v>
      </c>
      <c r="Q170" s="84" t="s">
        <v>989</v>
      </c>
      <c r="R170" s="110" t="s">
        <v>533</v>
      </c>
      <c r="S170" s="110" t="s">
        <v>533</v>
      </c>
      <c r="T170" s="110" t="s">
        <v>533</v>
      </c>
      <c r="U170" s="110" t="s">
        <v>533</v>
      </c>
    </row>
    <row r="171" spans="10:21" ht="16" thickBot="1">
      <c r="J171" s="84" t="s">
        <v>963</v>
      </c>
      <c r="K171" s="87" t="s">
        <v>533</v>
      </c>
      <c r="L171" s="87" t="s">
        <v>533</v>
      </c>
      <c r="M171" s="87" t="s">
        <v>533</v>
      </c>
      <c r="N171" s="87" t="s">
        <v>533</v>
      </c>
      <c r="Q171" s="84" t="s">
        <v>991</v>
      </c>
      <c r="R171" s="110" t="s">
        <v>533</v>
      </c>
      <c r="S171" s="110" t="s">
        <v>533</v>
      </c>
      <c r="T171" s="110" t="s">
        <v>533</v>
      </c>
      <c r="U171" s="110" t="s">
        <v>533</v>
      </c>
    </row>
    <row r="172" spans="10:21" ht="16" thickBot="1">
      <c r="J172" s="84" t="s">
        <v>965</v>
      </c>
      <c r="K172" s="87" t="s">
        <v>533</v>
      </c>
      <c r="L172" s="87" t="s">
        <v>533</v>
      </c>
      <c r="M172" s="87" t="s">
        <v>533</v>
      </c>
      <c r="N172" s="87" t="s">
        <v>533</v>
      </c>
      <c r="Q172" s="84" t="s">
        <v>993</v>
      </c>
      <c r="R172" s="110" t="s">
        <v>533</v>
      </c>
      <c r="S172" s="110" t="s">
        <v>533</v>
      </c>
      <c r="T172" s="110" t="s">
        <v>533</v>
      </c>
      <c r="U172" s="110" t="s">
        <v>533</v>
      </c>
    </row>
    <row r="173" spans="10:21" ht="16" thickBot="1">
      <c r="J173" s="84" t="s">
        <v>967</v>
      </c>
      <c r="K173" s="110" t="s">
        <v>533</v>
      </c>
      <c r="L173" s="110" t="s">
        <v>533</v>
      </c>
      <c r="M173" s="110" t="s">
        <v>533</v>
      </c>
      <c r="N173" s="110" t="s">
        <v>533</v>
      </c>
      <c r="Q173" s="94" t="s">
        <v>995</v>
      </c>
      <c r="R173" s="90"/>
      <c r="S173" s="90"/>
      <c r="T173" s="90"/>
      <c r="U173" s="90"/>
    </row>
    <row r="174" spans="10:21" ht="16" thickBot="1">
      <c r="J174" s="84" t="s">
        <v>969</v>
      </c>
      <c r="K174" s="110" t="s">
        <v>533</v>
      </c>
      <c r="L174" s="110" t="s">
        <v>533</v>
      </c>
      <c r="M174" s="110" t="s">
        <v>533</v>
      </c>
      <c r="N174" s="110" t="s">
        <v>533</v>
      </c>
      <c r="Q174" s="111" t="s">
        <v>1132</v>
      </c>
    </row>
    <row r="175" spans="10:21" ht="16" thickBot="1">
      <c r="J175" s="84" t="s">
        <v>971</v>
      </c>
      <c r="K175" s="110" t="s">
        <v>533</v>
      </c>
      <c r="L175" s="110" t="s">
        <v>533</v>
      </c>
      <c r="M175" s="110" t="s">
        <v>533</v>
      </c>
      <c r="N175" s="110" t="s">
        <v>533</v>
      </c>
    </row>
    <row r="176" spans="10:21">
      <c r="J176" s="84" t="s">
        <v>916</v>
      </c>
      <c r="K176" s="110" t="s">
        <v>533</v>
      </c>
      <c r="L176" s="110" t="s">
        <v>533</v>
      </c>
      <c r="M176" s="110" t="s">
        <v>533</v>
      </c>
      <c r="N176" s="110" t="s">
        <v>533</v>
      </c>
    </row>
    <row r="177" spans="10:14" ht="16" thickBot="1">
      <c r="J177" s="79" t="s">
        <v>974</v>
      </c>
      <c r="K177" s="79"/>
      <c r="L177" s="79"/>
      <c r="M177" s="79"/>
      <c r="N177" s="79"/>
    </row>
    <row r="178" spans="10:14" ht="16" thickBot="1">
      <c r="J178" s="84" t="s">
        <v>976</v>
      </c>
      <c r="K178" s="110" t="s">
        <v>533</v>
      </c>
      <c r="L178" s="110" t="s">
        <v>533</v>
      </c>
      <c r="M178" s="110" t="s">
        <v>533</v>
      </c>
      <c r="N178" s="110" t="s">
        <v>533</v>
      </c>
    </row>
    <row r="179" spans="10:14" ht="16" thickBot="1">
      <c r="J179" s="80" t="s">
        <v>994</v>
      </c>
      <c r="K179" s="91">
        <v>0.1</v>
      </c>
      <c r="L179" s="91">
        <v>0.4</v>
      </c>
      <c r="M179" s="91">
        <v>0.6</v>
      </c>
      <c r="N179" s="91" t="s">
        <v>533</v>
      </c>
    </row>
    <row r="180" spans="10:14" ht="16" thickBot="1">
      <c r="J180" s="82" t="s">
        <v>1133</v>
      </c>
      <c r="K180" s="109">
        <v>0</v>
      </c>
      <c r="L180" s="109">
        <v>0</v>
      </c>
      <c r="M180" s="109">
        <v>0</v>
      </c>
      <c r="N180" s="109" t="s">
        <v>533</v>
      </c>
    </row>
    <row r="181" spans="10:14" ht="16" thickBot="1">
      <c r="J181" s="82" t="s">
        <v>1134</v>
      </c>
      <c r="K181" s="109">
        <v>0.1</v>
      </c>
      <c r="L181" s="109">
        <v>0.3</v>
      </c>
      <c r="M181" s="109">
        <v>0.4</v>
      </c>
      <c r="N181" s="109" t="s">
        <v>533</v>
      </c>
    </row>
    <row r="182" spans="10:14" ht="16" thickBot="1">
      <c r="J182" s="82" t="s">
        <v>1135</v>
      </c>
      <c r="K182" s="109">
        <v>0</v>
      </c>
      <c r="L182" s="109">
        <v>0.1</v>
      </c>
      <c r="M182" s="109">
        <v>0.2</v>
      </c>
      <c r="N182" s="109" t="s">
        <v>533</v>
      </c>
    </row>
    <row r="183" spans="10:14" ht="16" thickBot="1">
      <c r="J183" s="82" t="s">
        <v>1136</v>
      </c>
      <c r="K183" s="109">
        <v>0</v>
      </c>
      <c r="L183" s="109">
        <v>0</v>
      </c>
      <c r="M183" s="109">
        <v>0</v>
      </c>
      <c r="N183" s="109" t="s">
        <v>533</v>
      </c>
    </row>
    <row r="184" spans="10:14" ht="16" thickBot="1">
      <c r="J184" s="82" t="s">
        <v>1137</v>
      </c>
      <c r="K184" s="109">
        <v>0</v>
      </c>
      <c r="L184" s="109">
        <v>0</v>
      </c>
      <c r="M184" s="109">
        <v>0</v>
      </c>
      <c r="N184" s="109" t="s">
        <v>533</v>
      </c>
    </row>
    <row r="185" spans="10:14" ht="16" thickBot="1">
      <c r="J185" s="82" t="s">
        <v>1138</v>
      </c>
      <c r="K185" s="109">
        <v>0</v>
      </c>
      <c r="L185" s="109">
        <v>0</v>
      </c>
      <c r="M185" s="109">
        <v>0</v>
      </c>
      <c r="N185" s="109" t="s">
        <v>533</v>
      </c>
    </row>
    <row r="186" spans="10:14" ht="16" thickBot="1">
      <c r="J186" s="82" t="s">
        <v>1139</v>
      </c>
      <c r="K186" s="109">
        <v>0</v>
      </c>
      <c r="L186" s="109">
        <v>0.1</v>
      </c>
      <c r="M186" s="109">
        <v>0.3</v>
      </c>
      <c r="N186" s="109" t="s">
        <v>533</v>
      </c>
    </row>
    <row r="187" spans="10:14" ht="16" thickBot="1">
      <c r="J187" s="82" t="s">
        <v>1140</v>
      </c>
      <c r="K187" s="109">
        <v>0</v>
      </c>
      <c r="L187" s="109">
        <v>0</v>
      </c>
      <c r="M187" s="109">
        <v>0</v>
      </c>
      <c r="N187" s="109" t="s">
        <v>533</v>
      </c>
    </row>
    <row r="188" spans="10:14" ht="16" thickBot="1">
      <c r="J188" s="82" t="s">
        <v>1141</v>
      </c>
      <c r="K188" s="109">
        <v>0</v>
      </c>
      <c r="L188" s="109">
        <v>0</v>
      </c>
      <c r="M188" s="109">
        <v>0</v>
      </c>
      <c r="N188" s="109" t="s">
        <v>533</v>
      </c>
    </row>
    <row r="189" spans="10:14" ht="16" thickBot="1">
      <c r="J189" s="80" t="s">
        <v>996</v>
      </c>
      <c r="K189" s="91">
        <v>37.5</v>
      </c>
      <c r="L189" s="91">
        <v>30.6</v>
      </c>
      <c r="M189" s="91">
        <v>36.4</v>
      </c>
      <c r="N189" s="91" t="s">
        <v>533</v>
      </c>
    </row>
    <row r="190" spans="10:14" ht="16" thickBot="1">
      <c r="J190" s="82" t="s">
        <v>998</v>
      </c>
      <c r="K190" s="109">
        <v>8.5</v>
      </c>
      <c r="L190" s="109">
        <v>5.2</v>
      </c>
      <c r="M190" s="109">
        <v>5.8</v>
      </c>
      <c r="N190" s="109" t="s">
        <v>533</v>
      </c>
    </row>
    <row r="191" spans="10:14" ht="16" thickBot="1">
      <c r="J191" s="82" t="s">
        <v>1005</v>
      </c>
      <c r="K191" s="109">
        <v>8.6999999999999993</v>
      </c>
      <c r="L191" s="109">
        <v>5.8</v>
      </c>
      <c r="M191" s="109">
        <v>5.2</v>
      </c>
      <c r="N191" s="109" t="s">
        <v>533</v>
      </c>
    </row>
    <row r="192" spans="10:14" ht="16" thickBot="1">
      <c r="J192" s="82" t="s">
        <v>1010</v>
      </c>
      <c r="K192" s="109">
        <v>9</v>
      </c>
      <c r="L192" s="109">
        <v>5.9</v>
      </c>
      <c r="M192" s="109">
        <v>5.8</v>
      </c>
      <c r="N192" s="109" t="s">
        <v>533</v>
      </c>
    </row>
    <row r="193" spans="10:14" ht="16" thickBot="1">
      <c r="J193" s="82" t="s">
        <v>1016</v>
      </c>
      <c r="K193" s="109">
        <v>9.1999999999999993</v>
      </c>
      <c r="L193" s="109">
        <v>6.1</v>
      </c>
      <c r="M193" s="109">
        <v>5.9</v>
      </c>
      <c r="N193" s="109" t="s">
        <v>533</v>
      </c>
    </row>
    <row r="194" spans="10:14" ht="16" thickBot="1">
      <c r="J194" s="82" t="s">
        <v>1022</v>
      </c>
      <c r="K194" s="109">
        <v>4.2</v>
      </c>
      <c r="L194" s="109">
        <v>6.3</v>
      </c>
      <c r="M194" s="109">
        <v>6.1</v>
      </c>
      <c r="N194" s="109" t="s">
        <v>533</v>
      </c>
    </row>
    <row r="195" spans="10:14" ht="16" thickBot="1">
      <c r="J195" s="82" t="s">
        <v>1023</v>
      </c>
      <c r="K195" s="109">
        <v>17.7</v>
      </c>
      <c r="L195" s="109">
        <v>11.7</v>
      </c>
      <c r="M195" s="109">
        <v>11</v>
      </c>
      <c r="N195" s="109" t="s">
        <v>533</v>
      </c>
    </row>
    <row r="196" spans="10:14" ht="16" thickBot="1">
      <c r="J196" s="82" t="s">
        <v>1029</v>
      </c>
      <c r="K196" s="109">
        <v>13.4</v>
      </c>
      <c r="L196" s="109">
        <v>12.3</v>
      </c>
      <c r="M196" s="109">
        <v>12</v>
      </c>
      <c r="N196" s="109" t="s">
        <v>533</v>
      </c>
    </row>
    <row r="197" spans="10:14" ht="16" thickBot="1">
      <c r="J197" s="82" t="s">
        <v>1031</v>
      </c>
      <c r="K197" s="109">
        <v>-2</v>
      </c>
      <c r="L197" s="109">
        <v>1.4</v>
      </c>
      <c r="M197" s="109">
        <v>7.6</v>
      </c>
      <c r="N197" s="109" t="s">
        <v>533</v>
      </c>
    </row>
    <row r="198" spans="10:14" ht="16" thickBot="1">
      <c r="J198" s="84" t="s">
        <v>1034</v>
      </c>
      <c r="K198" s="110">
        <v>-2</v>
      </c>
      <c r="L198" s="110" t="s">
        <v>533</v>
      </c>
      <c r="M198" s="110" t="s">
        <v>533</v>
      </c>
      <c r="N198" s="110" t="s">
        <v>533</v>
      </c>
    </row>
    <row r="199" spans="10:14" ht="16" thickBot="1">
      <c r="J199" s="84" t="s">
        <v>1037</v>
      </c>
      <c r="K199" s="110" t="s">
        <v>533</v>
      </c>
      <c r="L199" s="110" t="s">
        <v>533</v>
      </c>
      <c r="M199" s="110" t="s">
        <v>533</v>
      </c>
      <c r="N199" s="110" t="s">
        <v>533</v>
      </c>
    </row>
    <row r="200" spans="10:14" ht="16" thickBot="1">
      <c r="J200" s="84" t="s">
        <v>1061</v>
      </c>
      <c r="K200" s="110" t="s">
        <v>533</v>
      </c>
      <c r="L200" s="110" t="s">
        <v>533</v>
      </c>
      <c r="M200" s="110" t="s">
        <v>533</v>
      </c>
      <c r="N200" s="110" t="s">
        <v>533</v>
      </c>
    </row>
    <row r="201" spans="10:14" ht="16" thickBot="1">
      <c r="J201" s="84" t="s">
        <v>1065</v>
      </c>
      <c r="K201" s="110" t="s">
        <v>533</v>
      </c>
      <c r="L201" s="110" t="s">
        <v>533</v>
      </c>
      <c r="M201" s="110" t="s">
        <v>533</v>
      </c>
      <c r="N201" s="110" t="s">
        <v>533</v>
      </c>
    </row>
    <row r="202" spans="10:14" ht="16" thickBot="1">
      <c r="J202" s="84" t="s">
        <v>1070</v>
      </c>
      <c r="K202" s="110" t="s">
        <v>533</v>
      </c>
      <c r="L202" s="110" t="s">
        <v>533</v>
      </c>
      <c r="M202" s="110" t="s">
        <v>533</v>
      </c>
      <c r="N202" s="110" t="s">
        <v>533</v>
      </c>
    </row>
    <row r="203" spans="10:14" ht="16" thickBot="1">
      <c r="J203" s="84" t="s">
        <v>1073</v>
      </c>
      <c r="K203" s="110" t="s">
        <v>533</v>
      </c>
      <c r="L203" s="110" t="s">
        <v>533</v>
      </c>
      <c r="M203" s="110" t="s">
        <v>533</v>
      </c>
      <c r="N203" s="110" t="s">
        <v>533</v>
      </c>
    </row>
    <row r="204" spans="10:14">
      <c r="J204" s="84" t="s">
        <v>1074</v>
      </c>
      <c r="K204" s="110" t="s">
        <v>533</v>
      </c>
      <c r="L204" s="110" t="s">
        <v>533</v>
      </c>
      <c r="M204" s="110" t="s">
        <v>533</v>
      </c>
      <c r="N204" s="110" t="s">
        <v>533</v>
      </c>
    </row>
  </sheetData>
  <mergeCells count="5">
    <mergeCell ref="B3:G3"/>
    <mergeCell ref="J3:N3"/>
    <mergeCell ref="Q3:U3"/>
    <mergeCell ref="X3:AB3"/>
    <mergeCell ref="B1:A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C2E4-27D6-C14F-9B1C-339389F853E2}">
  <dimension ref="A1:N533"/>
  <sheetViews>
    <sheetView workbookViewId="0">
      <selection activeCell="M24" sqref="M24"/>
    </sheetView>
  </sheetViews>
  <sheetFormatPr baseColWidth="10" defaultColWidth="11.5" defaultRowHeight="15"/>
  <cols>
    <col min="1" max="1" width="20.6640625" bestFit="1" customWidth="1"/>
    <col min="3" max="3" width="20.6640625" bestFit="1" customWidth="1"/>
    <col min="5" max="5" width="20.6640625" bestFit="1" customWidth="1"/>
    <col min="10" max="10" width="10.6640625" style="238" bestFit="1" customWidth="1"/>
    <col min="11" max="11" width="11" bestFit="1" customWidth="1"/>
    <col min="13" max="13" width="10.6640625" bestFit="1" customWidth="1"/>
    <col min="14" max="14" width="11" bestFit="1" customWidth="1"/>
    <col min="16384" max="16384" width="11.5" bestFit="1" customWidth="1"/>
  </cols>
  <sheetData>
    <row r="1" spans="1:14">
      <c r="A1" s="40"/>
      <c r="B1" s="410" t="s">
        <v>1142</v>
      </c>
      <c r="C1" s="411"/>
      <c r="D1" s="410" t="s">
        <v>5</v>
      </c>
      <c r="E1" s="412"/>
      <c r="F1" s="410" t="s">
        <v>1143</v>
      </c>
      <c r="G1" s="412"/>
    </row>
    <row r="2" spans="1:14">
      <c r="A2" s="413" t="s">
        <v>1144</v>
      </c>
      <c r="B2" s="410" t="s">
        <v>1145</v>
      </c>
      <c r="C2" s="411"/>
      <c r="D2" s="415" t="s">
        <v>1146</v>
      </c>
      <c r="E2" s="416"/>
      <c r="F2" s="415" t="s">
        <v>1147</v>
      </c>
      <c r="G2" s="416"/>
    </row>
    <row r="3" spans="1:14">
      <c r="A3" s="414"/>
      <c r="B3" s="41" t="s">
        <v>1148</v>
      </c>
      <c r="C3" s="41" t="s">
        <v>1149</v>
      </c>
      <c r="D3" s="41" t="s">
        <v>1148</v>
      </c>
      <c r="E3" s="41" t="s">
        <v>1149</v>
      </c>
      <c r="F3" s="41" t="s">
        <v>1148</v>
      </c>
      <c r="G3" s="63" t="s">
        <v>1149</v>
      </c>
    </row>
    <row r="4" spans="1:14" ht="16">
      <c r="A4" s="44">
        <v>44326</v>
      </c>
      <c r="B4" s="49">
        <v>16516.830000000002</v>
      </c>
      <c r="C4" s="50">
        <f>LN(B5)-LN(B4)</f>
        <v>-9.8082918918152018E-3</v>
      </c>
      <c r="D4" s="49">
        <v>170.27</v>
      </c>
      <c r="E4" s="64">
        <f>LN(D5)-LN(D4)</f>
        <v>-8.1970088924867568E-3</v>
      </c>
      <c r="F4" s="49">
        <v>16.670000000000002</v>
      </c>
      <c r="G4" s="65">
        <f>LN(F5)-LN(F4)</f>
        <v>-0.10024133418289294</v>
      </c>
      <c r="J4" s="417" t="s">
        <v>5</v>
      </c>
      <c r="K4" s="417"/>
      <c r="M4" s="409" t="s">
        <v>7</v>
      </c>
      <c r="N4" s="409"/>
    </row>
    <row r="5" spans="1:14" ht="16">
      <c r="A5" s="44">
        <v>44327</v>
      </c>
      <c r="B5" s="49">
        <v>16355.62</v>
      </c>
      <c r="C5" s="50">
        <f t="shared" ref="C5:C68" si="0">LN(B6)-LN(B5)</f>
        <v>-1.9300821775438237E-2</v>
      </c>
      <c r="D5" s="49">
        <v>168.88</v>
      </c>
      <c r="E5" s="64">
        <f t="shared" ref="E5:E68" si="1">LN(D6)-LN(D5)</f>
        <v>-4.0346560012176624E-3</v>
      </c>
      <c r="F5" s="49">
        <v>15.08</v>
      </c>
      <c r="G5" s="65">
        <f t="shared" ref="G5:G68" si="2">LN(F6)-LN(F5)</f>
        <v>2.4239640763944692E-2</v>
      </c>
      <c r="J5" s="240" t="s">
        <v>1150</v>
      </c>
      <c r="K5" s="236" t="s">
        <v>1151</v>
      </c>
      <c r="M5" s="240" t="s">
        <v>1150</v>
      </c>
      <c r="N5" s="236" t="s">
        <v>1151</v>
      </c>
    </row>
    <row r="6" spans="1:14" ht="16">
      <c r="A6" s="44">
        <v>44328</v>
      </c>
      <c r="B6" s="49">
        <v>16042.97</v>
      </c>
      <c r="C6" s="50">
        <f t="shared" si="0"/>
        <v>8.6059008198642317E-3</v>
      </c>
      <c r="D6" s="49">
        <v>168.2</v>
      </c>
      <c r="E6" s="64">
        <f t="shared" si="1"/>
        <v>1.0409367707763018E-2</v>
      </c>
      <c r="F6" s="49">
        <v>15.45</v>
      </c>
      <c r="G6" s="65">
        <f t="shared" si="2"/>
        <v>-3.5576874567107453E-2</v>
      </c>
      <c r="J6" s="238">
        <v>44925</v>
      </c>
      <c r="K6">
        <v>176.65</v>
      </c>
      <c r="M6" s="238">
        <v>44925</v>
      </c>
      <c r="N6">
        <v>3.01</v>
      </c>
    </row>
    <row r="7" spans="1:14" ht="16">
      <c r="A7" s="44">
        <v>44329</v>
      </c>
      <c r="B7" s="49">
        <v>16181.63</v>
      </c>
      <c r="C7" s="50">
        <f t="shared" si="0"/>
        <v>1.4340833660984487E-2</v>
      </c>
      <c r="D7" s="49">
        <v>169.96</v>
      </c>
      <c r="E7" s="64">
        <f t="shared" si="1"/>
        <v>1.5286028022041265E-3</v>
      </c>
      <c r="F7" s="49">
        <v>14.91</v>
      </c>
      <c r="G7" s="65">
        <f t="shared" si="2"/>
        <v>6.8679833450274064E-2</v>
      </c>
      <c r="J7" s="238">
        <v>44561</v>
      </c>
      <c r="K7">
        <v>171.07</v>
      </c>
      <c r="M7" s="238">
        <v>44561</v>
      </c>
      <c r="N7">
        <v>8.09</v>
      </c>
    </row>
    <row r="8" spans="1:14" ht="16">
      <c r="A8" s="44">
        <v>44330</v>
      </c>
      <c r="B8" s="49">
        <v>16415.36</v>
      </c>
      <c r="C8" s="50">
        <f t="shared" si="0"/>
        <v>4.6287387026389126E-4</v>
      </c>
      <c r="D8" s="49">
        <v>170.22</v>
      </c>
      <c r="E8" s="64">
        <f t="shared" si="1"/>
        <v>9.9820917833248757E-4</v>
      </c>
      <c r="F8" s="49">
        <v>15.97</v>
      </c>
      <c r="G8" s="65">
        <f t="shared" si="2"/>
        <v>-2.5078383049641495E-3</v>
      </c>
      <c r="J8" s="238">
        <v>44196</v>
      </c>
      <c r="K8">
        <v>157.38</v>
      </c>
      <c r="M8" s="238">
        <v>44196</v>
      </c>
      <c r="N8">
        <v>0</v>
      </c>
    </row>
    <row r="9" spans="1:14" ht="16">
      <c r="A9" s="44">
        <v>44333</v>
      </c>
      <c r="B9" s="49">
        <v>16422.96</v>
      </c>
      <c r="C9" s="50">
        <f t="shared" si="0"/>
        <v>-5.203198851297941E-3</v>
      </c>
      <c r="D9" s="49">
        <v>170.39</v>
      </c>
      <c r="E9" s="64">
        <f t="shared" si="1"/>
        <v>3.5207135676440515E-4</v>
      </c>
      <c r="F9" s="49">
        <v>15.93</v>
      </c>
      <c r="G9" s="65">
        <f t="shared" si="2"/>
        <v>4.3845983178241177E-3</v>
      </c>
      <c r="J9" s="238">
        <v>43830</v>
      </c>
      <c r="K9">
        <v>145.87</v>
      </c>
      <c r="M9" s="238">
        <v>43830</v>
      </c>
      <c r="N9">
        <v>0</v>
      </c>
    </row>
    <row r="10" spans="1:14" ht="16">
      <c r="A10" s="44">
        <v>44334</v>
      </c>
      <c r="B10" s="49">
        <v>16337.73</v>
      </c>
      <c r="C10" s="50">
        <f t="shared" si="0"/>
        <v>-6.4112368277005061E-3</v>
      </c>
      <c r="D10" s="49">
        <v>170.45</v>
      </c>
      <c r="E10" s="64">
        <f t="shared" si="1"/>
        <v>-2.1730839902742716E-3</v>
      </c>
      <c r="F10" s="49">
        <v>16</v>
      </c>
      <c r="G10" s="65">
        <f t="shared" si="2"/>
        <v>-1.8291269972251278E-2</v>
      </c>
    </row>
    <row r="11" spans="1:14" ht="16">
      <c r="A11" s="44">
        <v>44335</v>
      </c>
      <c r="B11" s="49">
        <v>16233.32</v>
      </c>
      <c r="C11" s="50">
        <f t="shared" si="0"/>
        <v>7.189499835432045E-3</v>
      </c>
      <c r="D11" s="49">
        <v>170.08</v>
      </c>
      <c r="E11" s="64">
        <f t="shared" si="1"/>
        <v>5.8039148705626431E-3</v>
      </c>
      <c r="F11" s="49">
        <v>15.71</v>
      </c>
      <c r="G11" s="65">
        <f t="shared" si="2"/>
        <v>1.2722648026564087E-3</v>
      </c>
    </row>
    <row r="12" spans="1:14" ht="16">
      <c r="A12" s="44">
        <v>44336</v>
      </c>
      <c r="B12" s="49">
        <v>16350.45</v>
      </c>
      <c r="C12" s="50">
        <f t="shared" si="0"/>
        <v>1.5003616210211845E-3</v>
      </c>
      <c r="D12" s="49">
        <v>171.07</v>
      </c>
      <c r="E12" s="64">
        <f t="shared" si="1"/>
        <v>-6.4321845330805871E-4</v>
      </c>
      <c r="F12" s="49">
        <v>15.73</v>
      </c>
      <c r="G12" s="65">
        <f t="shared" si="2"/>
        <v>5.9839002352523263E-2</v>
      </c>
    </row>
    <row r="13" spans="1:14" ht="16">
      <c r="A13" s="44">
        <v>44337</v>
      </c>
      <c r="B13" s="49">
        <v>16375</v>
      </c>
      <c r="C13" s="50">
        <f t="shared" si="0"/>
        <v>5.462306313186005E-3</v>
      </c>
      <c r="D13" s="49">
        <v>170.96</v>
      </c>
      <c r="E13" s="64">
        <f t="shared" si="1"/>
        <v>-2.4011021462371218E-3</v>
      </c>
      <c r="F13" s="49">
        <v>16.7</v>
      </c>
      <c r="G13" s="65">
        <f t="shared" si="2"/>
        <v>-7.7799716078954972E-2</v>
      </c>
    </row>
    <row r="14" spans="1:14" ht="16">
      <c r="A14" s="44">
        <v>44340</v>
      </c>
      <c r="B14" s="49">
        <v>16464.689999999999</v>
      </c>
      <c r="C14" s="50">
        <f t="shared" si="0"/>
        <v>-4.5351027115430043E-3</v>
      </c>
      <c r="D14" s="49">
        <v>170.55</v>
      </c>
      <c r="E14" s="64">
        <f t="shared" si="1"/>
        <v>-2.7595942710174626E-3</v>
      </c>
      <c r="F14" s="49">
        <v>15.45</v>
      </c>
      <c r="G14" s="65">
        <f t="shared" si="2"/>
        <v>-3.0893025254681294E-2</v>
      </c>
    </row>
    <row r="15" spans="1:14" ht="16">
      <c r="A15" s="44">
        <v>44341</v>
      </c>
      <c r="B15" s="49">
        <v>16390.189999999999</v>
      </c>
      <c r="C15" s="50">
        <f t="shared" si="0"/>
        <v>3.7616339269224142E-3</v>
      </c>
      <c r="D15" s="49">
        <v>170.08</v>
      </c>
      <c r="E15" s="64">
        <f t="shared" si="1"/>
        <v>-5.9560842447625717E-3</v>
      </c>
      <c r="F15" s="49">
        <v>14.98</v>
      </c>
      <c r="G15" s="65">
        <f t="shared" si="2"/>
        <v>-2.1593281630567951E-2</v>
      </c>
    </row>
    <row r="16" spans="1:14" ht="16">
      <c r="A16" s="44">
        <v>44342</v>
      </c>
      <c r="B16" s="49">
        <v>16451.96</v>
      </c>
      <c r="C16" s="50">
        <f t="shared" si="0"/>
        <v>4.8502531575778107E-3</v>
      </c>
      <c r="D16" s="49">
        <v>169.07</v>
      </c>
      <c r="E16" s="64">
        <f t="shared" si="1"/>
        <v>-1.5390082355777324E-3</v>
      </c>
      <c r="F16" s="49">
        <v>14.66</v>
      </c>
      <c r="G16" s="65">
        <f t="shared" si="2"/>
        <v>2.7247973261852465E-3</v>
      </c>
    </row>
    <row r="17" spans="1:7" ht="16">
      <c r="A17" s="44">
        <v>44343</v>
      </c>
      <c r="B17" s="49">
        <v>16531.95</v>
      </c>
      <c r="C17" s="50">
        <f t="shared" si="0"/>
        <v>1.4331651067145401E-3</v>
      </c>
      <c r="D17" s="49">
        <v>168.81</v>
      </c>
      <c r="E17" s="64">
        <f t="shared" si="1"/>
        <v>2.6030896790869562E-3</v>
      </c>
      <c r="F17" s="49">
        <v>14.7</v>
      </c>
      <c r="G17" s="65">
        <f t="shared" si="2"/>
        <v>7.0895821633037759E-2</v>
      </c>
    </row>
    <row r="18" spans="1:7" ht="16">
      <c r="A18" s="44">
        <v>44344</v>
      </c>
      <c r="B18" s="49">
        <v>16555.66</v>
      </c>
      <c r="C18" s="50">
        <f t="shared" si="0"/>
        <v>5.2808974083440319E-3</v>
      </c>
      <c r="D18" s="49">
        <v>169.25</v>
      </c>
      <c r="E18" s="64">
        <f t="shared" si="1"/>
        <v>-2.2224464520309795E-2</v>
      </c>
      <c r="F18" s="49">
        <v>15.78</v>
      </c>
      <c r="G18" s="65">
        <f t="shared" si="2"/>
        <v>6.7386173750082712E-2</v>
      </c>
    </row>
    <row r="19" spans="1:7" ht="16">
      <c r="A19" s="44">
        <v>44348</v>
      </c>
      <c r="B19" s="49">
        <v>16643.32</v>
      </c>
      <c r="C19" s="50">
        <f t="shared" si="0"/>
        <v>1.839286318563893E-3</v>
      </c>
      <c r="D19" s="49">
        <v>165.53</v>
      </c>
      <c r="E19" s="64">
        <f t="shared" si="1"/>
        <v>4.0394351492736291E-3</v>
      </c>
      <c r="F19" s="49">
        <v>16.88</v>
      </c>
      <c r="G19" s="65">
        <f t="shared" si="2"/>
        <v>0.13138157156598229</v>
      </c>
    </row>
    <row r="20" spans="1:7" ht="16">
      <c r="A20" s="44">
        <v>44349</v>
      </c>
      <c r="B20" s="49">
        <v>16673.96</v>
      </c>
      <c r="C20" s="50">
        <f t="shared" si="0"/>
        <v>-2.4992281738711597E-3</v>
      </c>
      <c r="D20" s="49">
        <v>166.2</v>
      </c>
      <c r="E20" s="64">
        <f t="shared" si="1"/>
        <v>-9.6315923650980295E-4</v>
      </c>
      <c r="F20" s="49">
        <v>19.25</v>
      </c>
      <c r="G20" s="65">
        <f t="shared" si="2"/>
        <v>-5.0063702047374203E-2</v>
      </c>
    </row>
    <row r="21" spans="1:7" ht="16">
      <c r="A21" s="44">
        <v>44350</v>
      </c>
      <c r="B21" s="49">
        <v>16632.34</v>
      </c>
      <c r="C21" s="50">
        <f t="shared" si="0"/>
        <v>4.5829429473425165E-3</v>
      </c>
      <c r="D21" s="49">
        <v>166.04</v>
      </c>
      <c r="E21" s="64">
        <f t="shared" si="1"/>
        <v>-4.2167405221071874E-4</v>
      </c>
      <c r="F21" s="49">
        <v>18.309999999999999</v>
      </c>
      <c r="G21" s="65">
        <f t="shared" si="2"/>
        <v>-7.2470864011822123E-2</v>
      </c>
    </row>
    <row r="22" spans="1:7" ht="16">
      <c r="A22" s="44">
        <v>44351</v>
      </c>
      <c r="B22" s="49">
        <v>16708.740000000002</v>
      </c>
      <c r="C22" s="50">
        <f t="shared" si="0"/>
        <v>-1.4134328762640536E-3</v>
      </c>
      <c r="D22" s="49">
        <v>165.97</v>
      </c>
      <c r="E22" s="64">
        <f t="shared" si="1"/>
        <v>-6.8317426620110311E-3</v>
      </c>
      <c r="F22" s="49">
        <v>17.03</v>
      </c>
      <c r="G22" s="65">
        <f t="shared" si="2"/>
        <v>-5.6778533670305276E-2</v>
      </c>
    </row>
    <row r="23" spans="1:7" ht="16">
      <c r="A23" s="44">
        <v>44354</v>
      </c>
      <c r="B23" s="49">
        <v>16685.14</v>
      </c>
      <c r="C23" s="50">
        <f t="shared" si="0"/>
        <v>2.037720605763127E-5</v>
      </c>
      <c r="D23" s="49">
        <v>164.84</v>
      </c>
      <c r="E23" s="64">
        <f t="shared" si="1"/>
        <v>-8.835325427884122E-3</v>
      </c>
      <c r="F23" s="49">
        <v>16.09</v>
      </c>
      <c r="G23" s="65">
        <f t="shared" si="2"/>
        <v>6.7873537995292832E-2</v>
      </c>
    </row>
    <row r="24" spans="1:7" ht="16">
      <c r="A24" s="44">
        <v>44355</v>
      </c>
      <c r="B24" s="49">
        <v>16685.48</v>
      </c>
      <c r="C24" s="50">
        <f t="shared" si="0"/>
        <v>-3.9320907170434793E-3</v>
      </c>
      <c r="D24" s="49">
        <v>163.38999999999999</v>
      </c>
      <c r="E24" s="64">
        <f t="shared" si="1"/>
        <v>1.3374872611660926E-2</v>
      </c>
      <c r="F24" s="49">
        <v>17.22</v>
      </c>
      <c r="G24" s="65">
        <f t="shared" si="2"/>
        <v>8.5655444578494055E-2</v>
      </c>
    </row>
    <row r="25" spans="1:7" ht="16">
      <c r="A25" s="44">
        <v>44356</v>
      </c>
      <c r="B25" s="49">
        <v>16620</v>
      </c>
      <c r="C25" s="50">
        <f t="shared" si="0"/>
        <v>1.8893091970557663E-3</v>
      </c>
      <c r="D25" s="49">
        <v>165.59</v>
      </c>
      <c r="E25" s="64">
        <f t="shared" si="1"/>
        <v>8.9578859745813588E-3</v>
      </c>
      <c r="F25" s="49">
        <v>18.760000000000002</v>
      </c>
      <c r="G25" s="65">
        <f t="shared" si="2"/>
        <v>1.8484814674103234E-2</v>
      </c>
    </row>
    <row r="26" spans="1:7" ht="16">
      <c r="A26" s="44">
        <v>44357</v>
      </c>
      <c r="B26" s="49">
        <v>16651.43</v>
      </c>
      <c r="C26" s="50">
        <f t="shared" si="0"/>
        <v>2.6089818903525241E-3</v>
      </c>
      <c r="D26" s="49">
        <v>167.08</v>
      </c>
      <c r="E26" s="64">
        <f t="shared" si="1"/>
        <v>-1.2769719360324672E-2</v>
      </c>
      <c r="F26" s="49">
        <v>19.11</v>
      </c>
      <c r="G26" s="65">
        <f t="shared" si="2"/>
        <v>-3.8948641324640931E-2</v>
      </c>
    </row>
    <row r="27" spans="1:7" ht="16">
      <c r="A27" s="44">
        <v>44358</v>
      </c>
      <c r="B27" s="49">
        <v>16694.93</v>
      </c>
      <c r="C27" s="50">
        <f t="shared" si="0"/>
        <v>-1.9491962217088599E-3</v>
      </c>
      <c r="D27" s="49">
        <v>164.96</v>
      </c>
      <c r="E27" s="64">
        <f t="shared" si="1"/>
        <v>2.4823673934548651E-3</v>
      </c>
      <c r="F27" s="49">
        <v>18.38</v>
      </c>
      <c r="G27" s="65">
        <f t="shared" si="2"/>
        <v>5.4392168868888646E-4</v>
      </c>
    </row>
    <row r="28" spans="1:7" ht="16">
      <c r="A28" s="44">
        <v>44361</v>
      </c>
      <c r="B28" s="49">
        <v>16662.419999999998</v>
      </c>
      <c r="C28" s="50">
        <f t="shared" si="0"/>
        <v>-3.9677978612395748E-4</v>
      </c>
      <c r="D28" s="49">
        <v>165.37</v>
      </c>
      <c r="E28" s="64">
        <f t="shared" si="1"/>
        <v>-5.3356095780383583E-3</v>
      </c>
      <c r="F28" s="49">
        <v>18.39</v>
      </c>
      <c r="G28" s="65">
        <f t="shared" si="2"/>
        <v>-5.9994725902257073E-3</v>
      </c>
    </row>
    <row r="29" spans="1:7" ht="16">
      <c r="A29" s="44">
        <v>44362</v>
      </c>
      <c r="B29" s="49">
        <v>16655.810000000001</v>
      </c>
      <c r="C29" s="50">
        <f t="shared" si="0"/>
        <v>-6.8105606339745606E-3</v>
      </c>
      <c r="D29" s="49">
        <v>164.49</v>
      </c>
      <c r="E29" s="64">
        <f t="shared" si="1"/>
        <v>-3.6483035793200003E-4</v>
      </c>
      <c r="F29" s="49">
        <v>18.28</v>
      </c>
      <c r="G29" s="65">
        <f t="shared" si="2"/>
        <v>-3.5071782646698413E-2</v>
      </c>
    </row>
    <row r="30" spans="1:7" ht="16">
      <c r="A30" s="44">
        <v>44363</v>
      </c>
      <c r="B30" s="49">
        <v>16542.759999999998</v>
      </c>
      <c r="C30" s="50">
        <f t="shared" si="0"/>
        <v>-7.9570953794902977E-3</v>
      </c>
      <c r="D30" s="49">
        <v>164.43</v>
      </c>
      <c r="E30" s="64">
        <f t="shared" si="1"/>
        <v>4.7929714082250996E-3</v>
      </c>
      <c r="F30" s="49">
        <v>17.649999999999999</v>
      </c>
      <c r="G30" s="65">
        <f t="shared" si="2"/>
        <v>-7.6507886036043082E-2</v>
      </c>
    </row>
    <row r="31" spans="1:7" ht="16">
      <c r="A31" s="44">
        <v>44364</v>
      </c>
      <c r="B31" s="49">
        <v>16411.650000000001</v>
      </c>
      <c r="C31" s="50">
        <f t="shared" si="0"/>
        <v>-1.6446082012823382E-2</v>
      </c>
      <c r="D31" s="49">
        <v>165.22</v>
      </c>
      <c r="E31" s="64">
        <f t="shared" si="1"/>
        <v>-1.9805048313515705E-2</v>
      </c>
      <c r="F31" s="49">
        <v>16.350000000000001</v>
      </c>
      <c r="G31" s="65">
        <f t="shared" si="2"/>
        <v>-4.3756980357100517E-2</v>
      </c>
    </row>
    <row r="32" spans="1:7" ht="16">
      <c r="A32" s="44">
        <v>44365</v>
      </c>
      <c r="B32" s="49">
        <v>16143.95</v>
      </c>
      <c r="C32" s="50">
        <f t="shared" si="0"/>
        <v>1.646618947808598E-2</v>
      </c>
      <c r="D32" s="49">
        <v>161.97999999999999</v>
      </c>
      <c r="E32" s="64">
        <f t="shared" si="1"/>
        <v>1.1417471030298998E-2</v>
      </c>
      <c r="F32" s="49">
        <v>15.65</v>
      </c>
      <c r="G32" s="65">
        <f t="shared" si="2"/>
        <v>-2.4580797755620942E-2</v>
      </c>
    </row>
    <row r="33" spans="1:7" ht="16">
      <c r="A33" s="44">
        <v>44368</v>
      </c>
      <c r="B33" s="49">
        <v>16411.98</v>
      </c>
      <c r="C33" s="50">
        <f t="shared" si="0"/>
        <v>2.2537370708537452E-3</v>
      </c>
      <c r="D33" s="49">
        <v>163.84</v>
      </c>
      <c r="E33" s="64">
        <f t="shared" si="1"/>
        <v>-1.3436757655904685E-3</v>
      </c>
      <c r="F33" s="49">
        <v>15.27</v>
      </c>
      <c r="G33" s="65">
        <f t="shared" si="2"/>
        <v>-2.5200272534623647E-2</v>
      </c>
    </row>
    <row r="34" spans="1:7" ht="16">
      <c r="A34" s="44">
        <v>44369</v>
      </c>
      <c r="B34" s="49">
        <v>16449.009999999998</v>
      </c>
      <c r="C34" s="50">
        <f t="shared" si="0"/>
        <v>-6.9207437757157209E-4</v>
      </c>
      <c r="D34" s="49">
        <v>163.62</v>
      </c>
      <c r="E34" s="64">
        <f t="shared" si="1"/>
        <v>-6.0689841451955218E-3</v>
      </c>
      <c r="F34" s="49">
        <v>14.89</v>
      </c>
      <c r="G34" s="65">
        <f t="shared" si="2"/>
        <v>5.3583517356194932E-3</v>
      </c>
    </row>
    <row r="35" spans="1:7" ht="16">
      <c r="A35" s="44">
        <v>44370</v>
      </c>
      <c r="B35" s="49">
        <v>16437.63</v>
      </c>
      <c r="C35" s="50">
        <f t="shared" si="0"/>
        <v>7.3335934994069873E-3</v>
      </c>
      <c r="D35" s="49">
        <v>162.63</v>
      </c>
      <c r="E35" s="64">
        <f t="shared" si="1"/>
        <v>4.5398850980600258E-3</v>
      </c>
      <c r="F35" s="49">
        <v>14.97</v>
      </c>
      <c r="G35" s="65">
        <f t="shared" si="2"/>
        <v>3.4791825493663886E-2</v>
      </c>
    </row>
    <row r="36" spans="1:7" ht="16">
      <c r="A36" s="44">
        <v>44371</v>
      </c>
      <c r="B36" s="49">
        <v>16558.62</v>
      </c>
      <c r="C36" s="50">
        <f t="shared" si="0"/>
        <v>6.0311928980940621E-3</v>
      </c>
      <c r="D36" s="49">
        <v>163.37</v>
      </c>
      <c r="E36" s="64">
        <f t="shared" si="1"/>
        <v>5.1285294653293789E-3</v>
      </c>
      <c r="F36" s="49">
        <v>15.5</v>
      </c>
      <c r="G36" s="65">
        <f t="shared" si="2"/>
        <v>2.9871938301720302E-2</v>
      </c>
    </row>
    <row r="37" spans="1:7" ht="16">
      <c r="A37" s="44">
        <v>44372</v>
      </c>
      <c r="B37" s="49">
        <v>16658.79</v>
      </c>
      <c r="C37" s="50">
        <f t="shared" si="0"/>
        <v>-5.1196966955640022E-3</v>
      </c>
      <c r="D37" s="49">
        <v>164.21</v>
      </c>
      <c r="E37" s="64">
        <f t="shared" si="1"/>
        <v>-1.1577248954814934E-3</v>
      </c>
      <c r="F37" s="49">
        <v>15.97</v>
      </c>
      <c r="G37" s="65">
        <f t="shared" si="2"/>
        <v>1.0588700614881486E-2</v>
      </c>
    </row>
    <row r="38" spans="1:7" ht="16">
      <c r="A38" s="44">
        <v>44375</v>
      </c>
      <c r="B38" s="49">
        <v>16573.72</v>
      </c>
      <c r="C38" s="50">
        <f t="shared" si="0"/>
        <v>-1.5790451056396648E-3</v>
      </c>
      <c r="D38" s="49">
        <v>164.02</v>
      </c>
      <c r="E38" s="64">
        <f t="shared" si="1"/>
        <v>6.0966316129729137E-5</v>
      </c>
      <c r="F38" s="49">
        <v>16.14</v>
      </c>
      <c r="G38" s="65">
        <f t="shared" si="2"/>
        <v>1.7808269207374217E-2</v>
      </c>
    </row>
    <row r="39" spans="1:7" ht="16">
      <c r="A39" s="44">
        <v>44376</v>
      </c>
      <c r="B39" s="49">
        <v>16547.57</v>
      </c>
      <c r="C39" s="50">
        <f t="shared" si="0"/>
        <v>4.7004917652238021E-4</v>
      </c>
      <c r="D39" s="49">
        <v>164.03</v>
      </c>
      <c r="E39" s="64">
        <f t="shared" si="1"/>
        <v>4.3191355887080007E-3</v>
      </c>
      <c r="F39" s="49">
        <v>16.43</v>
      </c>
      <c r="G39" s="65">
        <f t="shared" si="2"/>
        <v>-1.4715164359632826E-2</v>
      </c>
    </row>
    <row r="40" spans="1:7" ht="16">
      <c r="A40" s="44">
        <v>44377</v>
      </c>
      <c r="B40" s="49">
        <v>16555.349999999999</v>
      </c>
      <c r="C40" s="50">
        <f t="shared" si="0"/>
        <v>5.1578136118397566E-3</v>
      </c>
      <c r="D40" s="49">
        <v>164.74</v>
      </c>
      <c r="E40" s="64">
        <f t="shared" si="1"/>
        <v>7.37832195156507E-3</v>
      </c>
      <c r="F40" s="49">
        <v>16.190000000000001</v>
      </c>
      <c r="G40" s="65">
        <f t="shared" si="2"/>
        <v>-8.1021156138445072E-2</v>
      </c>
    </row>
    <row r="41" spans="1:7" ht="16">
      <c r="A41" s="44">
        <v>44378</v>
      </c>
      <c r="B41" s="49">
        <v>16640.96</v>
      </c>
      <c r="C41" s="50">
        <f t="shared" si="0"/>
        <v>2.0344702223624722E-3</v>
      </c>
      <c r="D41" s="49">
        <v>165.96</v>
      </c>
      <c r="E41" s="64">
        <f t="shared" si="1"/>
        <v>1.8033569260031079E-2</v>
      </c>
      <c r="F41" s="49">
        <v>14.93</v>
      </c>
      <c r="G41" s="65">
        <f t="shared" si="2"/>
        <v>-2.0113985996856876E-3</v>
      </c>
    </row>
    <row r="42" spans="1:7" ht="16">
      <c r="A42" s="44">
        <v>44379</v>
      </c>
      <c r="B42" s="49">
        <v>16674.849999999999</v>
      </c>
      <c r="C42" s="50">
        <f t="shared" si="0"/>
        <v>-7.9536568803089125E-3</v>
      </c>
      <c r="D42" s="49">
        <v>168.98</v>
      </c>
      <c r="E42" s="64">
        <f t="shared" si="1"/>
        <v>-5.994972695787304E-3</v>
      </c>
      <c r="F42" s="49">
        <v>14.9</v>
      </c>
      <c r="G42" s="65">
        <f t="shared" si="2"/>
        <v>1.3995563333234706E-2</v>
      </c>
    </row>
    <row r="43" spans="1:7" ht="16">
      <c r="A43" s="44">
        <v>44383</v>
      </c>
      <c r="B43" s="49">
        <v>16542.75</v>
      </c>
      <c r="C43" s="50">
        <f t="shared" si="0"/>
        <v>1.000542043696484E-3</v>
      </c>
      <c r="D43" s="49">
        <v>167.97</v>
      </c>
      <c r="E43" s="64">
        <f t="shared" si="1"/>
        <v>8.5364203239439718E-3</v>
      </c>
      <c r="F43" s="49">
        <v>15.11</v>
      </c>
      <c r="G43" s="65">
        <f t="shared" si="2"/>
        <v>-2.0054148004940764E-2</v>
      </c>
    </row>
    <row r="44" spans="1:7" ht="16">
      <c r="A44" s="44">
        <v>44384</v>
      </c>
      <c r="B44" s="49">
        <v>16559.310000000001</v>
      </c>
      <c r="C44" s="50">
        <f t="shared" si="0"/>
        <v>-1.2127487824210803E-2</v>
      </c>
      <c r="D44" s="49">
        <v>169.41</v>
      </c>
      <c r="E44" s="64">
        <f t="shared" si="1"/>
        <v>-1.9498366542665124E-3</v>
      </c>
      <c r="F44" s="49">
        <v>14.81</v>
      </c>
      <c r="G44" s="65">
        <f t="shared" si="2"/>
        <v>2.0236094595271759E-3</v>
      </c>
    </row>
    <row r="45" spans="1:7" ht="16">
      <c r="A45" s="44">
        <v>44385</v>
      </c>
      <c r="B45" s="49">
        <v>16359.7</v>
      </c>
      <c r="C45" s="50">
        <f t="shared" si="0"/>
        <v>1.6585716481182899E-2</v>
      </c>
      <c r="D45" s="49">
        <v>169.08</v>
      </c>
      <c r="E45" s="64">
        <f t="shared" si="1"/>
        <v>3.9547907402166516E-3</v>
      </c>
      <c r="F45" s="49">
        <v>14.84</v>
      </c>
      <c r="G45" s="65">
        <f t="shared" si="2"/>
        <v>-1.8361617532121066E-2</v>
      </c>
    </row>
    <row r="46" spans="1:7" ht="16">
      <c r="A46" s="44">
        <v>44386</v>
      </c>
      <c r="B46" s="49">
        <v>16633.3</v>
      </c>
      <c r="C46" s="50">
        <f t="shared" si="0"/>
        <v>2.3923312729419166E-3</v>
      </c>
      <c r="D46" s="49">
        <v>169.75</v>
      </c>
      <c r="E46" s="64">
        <f t="shared" si="1"/>
        <v>-1.5918406804473761E-3</v>
      </c>
      <c r="F46" s="49">
        <v>14.57</v>
      </c>
      <c r="G46" s="65">
        <f t="shared" si="2"/>
        <v>-7.5784034764945218E-3</v>
      </c>
    </row>
    <row r="47" spans="1:7" ht="16">
      <c r="A47" s="44">
        <v>44389</v>
      </c>
      <c r="B47" s="49">
        <v>16673.14</v>
      </c>
      <c r="C47" s="50">
        <f t="shared" si="0"/>
        <v>-5.8570508540984889E-3</v>
      </c>
      <c r="D47" s="49">
        <v>169.48</v>
      </c>
      <c r="E47" s="64">
        <f t="shared" si="1"/>
        <v>-1.2398525573518171E-3</v>
      </c>
      <c r="F47" s="49">
        <v>14.46</v>
      </c>
      <c r="G47" s="65">
        <f t="shared" si="2"/>
        <v>-6.1316423988612367E-2</v>
      </c>
    </row>
    <row r="48" spans="1:7" ht="16">
      <c r="A48" s="44">
        <v>44390</v>
      </c>
      <c r="B48" s="49">
        <v>16575.77</v>
      </c>
      <c r="C48" s="50">
        <f t="shared" si="0"/>
        <v>-1.9317901329216625E-3</v>
      </c>
      <c r="D48" s="49">
        <v>169.27</v>
      </c>
      <c r="E48" s="64">
        <f t="shared" si="1"/>
        <v>6.7709051988034119E-3</v>
      </c>
      <c r="F48" s="49">
        <v>13.6</v>
      </c>
      <c r="G48" s="65">
        <f t="shared" si="2"/>
        <v>2.7557944063657747E-2</v>
      </c>
    </row>
    <row r="49" spans="1:7" ht="16">
      <c r="A49" s="44">
        <v>44391</v>
      </c>
      <c r="B49" s="49">
        <v>16543.78</v>
      </c>
      <c r="C49" s="50">
        <f t="shared" si="0"/>
        <v>-2.7067907785305323E-3</v>
      </c>
      <c r="D49" s="49">
        <v>170.42</v>
      </c>
      <c r="E49" s="64">
        <f t="shared" si="1"/>
        <v>-1.2102039730101488E-2</v>
      </c>
      <c r="F49" s="49">
        <v>13.98</v>
      </c>
      <c r="G49" s="65">
        <f t="shared" si="2"/>
        <v>4.6812598657412163E-2</v>
      </c>
    </row>
    <row r="50" spans="1:7" ht="16">
      <c r="A50" s="44">
        <v>44392</v>
      </c>
      <c r="B50" s="49">
        <v>16499.060000000001</v>
      </c>
      <c r="C50" s="50">
        <f t="shared" si="0"/>
        <v>-8.1792778958522661E-3</v>
      </c>
      <c r="D50" s="49">
        <v>168.37</v>
      </c>
      <c r="E50" s="64">
        <f t="shared" si="1"/>
        <v>-1.6048982551382096E-3</v>
      </c>
      <c r="F50" s="49">
        <v>14.65</v>
      </c>
      <c r="G50" s="65">
        <f t="shared" si="2"/>
        <v>2.2942976651429969E-2</v>
      </c>
    </row>
    <row r="51" spans="1:7" ht="16">
      <c r="A51" s="44">
        <v>44393</v>
      </c>
      <c r="B51" s="49">
        <v>16364.66</v>
      </c>
      <c r="C51" s="50">
        <f t="shared" si="0"/>
        <v>-1.9246449015938083E-2</v>
      </c>
      <c r="D51" s="49">
        <v>168.1</v>
      </c>
      <c r="E51" s="64">
        <f t="shared" si="1"/>
        <v>-7.2840491621075643E-3</v>
      </c>
      <c r="F51" s="49">
        <v>14.99</v>
      </c>
      <c r="G51" s="65">
        <f t="shared" si="2"/>
        <v>-5.7668688025259485E-2</v>
      </c>
    </row>
    <row r="52" spans="1:7" ht="16">
      <c r="A52" s="44">
        <v>44396</v>
      </c>
      <c r="B52" s="49">
        <v>16052.71</v>
      </c>
      <c r="C52" s="50">
        <f t="shared" si="0"/>
        <v>1.6632532345258966E-2</v>
      </c>
      <c r="D52" s="49">
        <v>166.88</v>
      </c>
      <c r="E52" s="64">
        <f t="shared" si="1"/>
        <v>9.3639786000991876E-3</v>
      </c>
      <c r="F52" s="49">
        <v>14.15</v>
      </c>
      <c r="G52" s="65">
        <f t="shared" si="2"/>
        <v>2.4434025337281895E-2</v>
      </c>
    </row>
    <row r="53" spans="1:7" ht="16">
      <c r="A53" s="44">
        <v>44397</v>
      </c>
      <c r="B53" s="49">
        <v>16321.94</v>
      </c>
      <c r="C53" s="50">
        <f t="shared" si="0"/>
        <v>1.1060446806057556E-2</v>
      </c>
      <c r="D53" s="49">
        <v>168.45</v>
      </c>
      <c r="E53" s="64">
        <f t="shared" si="1"/>
        <v>6.1549581774018591E-3</v>
      </c>
      <c r="F53" s="49">
        <v>14.5</v>
      </c>
      <c r="G53" s="65">
        <f t="shared" si="2"/>
        <v>1.6416237334661687E-2</v>
      </c>
    </row>
    <row r="54" spans="1:7" ht="16">
      <c r="A54" s="44">
        <v>44398</v>
      </c>
      <c r="B54" s="49">
        <v>16503.47</v>
      </c>
      <c r="C54" s="50">
        <f t="shared" si="0"/>
        <v>-2.8853709361289503E-3</v>
      </c>
      <c r="D54" s="49">
        <v>169.49</v>
      </c>
      <c r="E54" s="64">
        <f t="shared" si="1"/>
        <v>2.8868550405167781E-3</v>
      </c>
      <c r="F54" s="49">
        <v>14.74</v>
      </c>
      <c r="G54" s="65">
        <f t="shared" si="2"/>
        <v>-1.5726819865093944E-2</v>
      </c>
    </row>
    <row r="55" spans="1:7" ht="16">
      <c r="A55" s="44">
        <v>44399</v>
      </c>
      <c r="B55" s="49">
        <v>16455.919999999998</v>
      </c>
      <c r="C55" s="50">
        <f t="shared" si="0"/>
        <v>5.844607240286237E-3</v>
      </c>
      <c r="D55" s="49">
        <v>169.98</v>
      </c>
      <c r="E55" s="64">
        <f t="shared" si="1"/>
        <v>1.0592017567874201E-2</v>
      </c>
      <c r="F55" s="49">
        <v>14.51</v>
      </c>
      <c r="G55" s="65">
        <f t="shared" si="2"/>
        <v>-2.0188642521001832E-2</v>
      </c>
    </row>
    <row r="56" spans="1:7" ht="16">
      <c r="A56" s="44">
        <v>44400</v>
      </c>
      <c r="B56" s="49">
        <v>16552.38</v>
      </c>
      <c r="C56" s="50">
        <f t="shared" si="0"/>
        <v>7.8085160269125709E-4</v>
      </c>
      <c r="D56" s="49">
        <v>171.79</v>
      </c>
      <c r="E56" s="64">
        <f t="shared" si="1"/>
        <v>4.6557645024147831E-4</v>
      </c>
      <c r="F56" s="49">
        <v>14.22</v>
      </c>
      <c r="G56" s="65">
        <f t="shared" si="2"/>
        <v>3.4557688925635599E-2</v>
      </c>
    </row>
    <row r="57" spans="1:7" ht="16">
      <c r="A57" s="44">
        <v>44403</v>
      </c>
      <c r="B57" s="49">
        <v>16565.310000000001</v>
      </c>
      <c r="C57" s="50">
        <f t="shared" si="0"/>
        <v>-2.6808719485291732E-3</v>
      </c>
      <c r="D57" s="49">
        <v>171.87</v>
      </c>
      <c r="E57" s="64">
        <f t="shared" si="1"/>
        <v>4.5859657187810043E-3</v>
      </c>
      <c r="F57" s="49">
        <v>14.72</v>
      </c>
      <c r="G57" s="65">
        <f t="shared" si="2"/>
        <v>1.1482733395187239E-2</v>
      </c>
    </row>
    <row r="58" spans="1:7" ht="16">
      <c r="A58" s="44">
        <v>44404</v>
      </c>
      <c r="B58" s="49">
        <v>16520.96</v>
      </c>
      <c r="C58" s="50">
        <f t="shared" si="0"/>
        <v>3.1787766851998356E-3</v>
      </c>
      <c r="D58" s="49">
        <v>172.66</v>
      </c>
      <c r="E58" s="64">
        <f t="shared" si="1"/>
        <v>-2.7839015775681375E-3</v>
      </c>
      <c r="F58" s="49">
        <v>14.89</v>
      </c>
      <c r="G58" s="65">
        <f t="shared" si="2"/>
        <v>-4.1129854754141437E-2</v>
      </c>
    </row>
    <row r="59" spans="1:7" ht="16">
      <c r="A59" s="44">
        <v>44405</v>
      </c>
      <c r="B59" s="49">
        <v>16573.560000000001</v>
      </c>
      <c r="C59" s="50">
        <f t="shared" si="0"/>
        <v>7.4287928016669724E-3</v>
      </c>
      <c r="D59" s="49">
        <v>172.18</v>
      </c>
      <c r="E59" s="64">
        <f t="shared" si="1"/>
        <v>0</v>
      </c>
      <c r="F59" s="49">
        <v>14.29</v>
      </c>
      <c r="G59" s="65">
        <f t="shared" si="2"/>
        <v>2.6926031244593585E-2</v>
      </c>
    </row>
    <row r="60" spans="1:7" ht="16">
      <c r="A60" s="44">
        <v>44406</v>
      </c>
      <c r="B60" s="49">
        <v>16697.14</v>
      </c>
      <c r="C60" s="50">
        <f t="shared" si="0"/>
        <v>-5.6968096161913451E-3</v>
      </c>
      <c r="D60" s="49">
        <v>172.18</v>
      </c>
      <c r="E60" s="64">
        <f t="shared" si="1"/>
        <v>1.1615076382121003E-4</v>
      </c>
      <c r="F60" s="49">
        <v>14.68</v>
      </c>
      <c r="G60" s="65">
        <f t="shared" si="2"/>
        <v>-2.1343323095436073E-2</v>
      </c>
    </row>
    <row r="61" spans="1:7" ht="16">
      <c r="A61" s="44">
        <v>44407</v>
      </c>
      <c r="B61" s="49">
        <v>16602.29</v>
      </c>
      <c r="C61" s="50">
        <f t="shared" si="0"/>
        <v>-1.5721027395105835E-3</v>
      </c>
      <c r="D61" s="49">
        <v>172.2</v>
      </c>
      <c r="E61" s="64">
        <f t="shared" si="1"/>
        <v>4.064214646479769E-4</v>
      </c>
      <c r="F61" s="49">
        <v>14.37</v>
      </c>
      <c r="G61" s="65">
        <f t="shared" si="2"/>
        <v>1.8614808442232178E-2</v>
      </c>
    </row>
    <row r="62" spans="1:7" ht="16">
      <c r="A62" s="44">
        <v>44410</v>
      </c>
      <c r="B62" s="49">
        <v>16576.21</v>
      </c>
      <c r="C62" s="50">
        <f t="shared" si="0"/>
        <v>8.2458478969957838E-3</v>
      </c>
      <c r="D62" s="49">
        <v>172.27</v>
      </c>
      <c r="E62" s="64">
        <f t="shared" si="1"/>
        <v>1.2231156923090403E-2</v>
      </c>
      <c r="F62" s="49">
        <v>14.64</v>
      </c>
      <c r="G62" s="65">
        <f t="shared" si="2"/>
        <v>-3.2630454830576472E-2</v>
      </c>
    </row>
    <row r="63" spans="1:7" ht="16">
      <c r="A63" s="44">
        <v>44411</v>
      </c>
      <c r="B63" s="49">
        <v>16713.46</v>
      </c>
      <c r="C63" s="50">
        <f t="shared" si="0"/>
        <v>-7.1442728711215153E-3</v>
      </c>
      <c r="D63" s="49">
        <v>174.39</v>
      </c>
      <c r="E63" s="64">
        <f t="shared" si="1"/>
        <v>-5.9238131532648453E-3</v>
      </c>
      <c r="F63" s="49">
        <v>14.17</v>
      </c>
      <c r="G63" s="65">
        <f t="shared" si="2"/>
        <v>-6.0360013215111419E-2</v>
      </c>
    </row>
    <row r="64" spans="1:7" ht="16">
      <c r="A64" s="44">
        <v>44412</v>
      </c>
      <c r="B64" s="49">
        <v>16594.48</v>
      </c>
      <c r="C64" s="50">
        <f t="shared" si="0"/>
        <v>6.0691120920903785E-3</v>
      </c>
      <c r="D64" s="49">
        <v>173.36</v>
      </c>
      <c r="E64" s="64">
        <f t="shared" si="1"/>
        <v>1.9017438378172713E-3</v>
      </c>
      <c r="F64" s="49">
        <v>13.34</v>
      </c>
      <c r="G64" s="65">
        <f t="shared" si="2"/>
        <v>4.4876664693878077E-3</v>
      </c>
    </row>
    <row r="65" spans="1:7" ht="16">
      <c r="A65" s="44">
        <v>44413</v>
      </c>
      <c r="B65" s="49">
        <v>16695.5</v>
      </c>
      <c r="C65" s="50">
        <f t="shared" si="0"/>
        <v>3.1444028015368275E-3</v>
      </c>
      <c r="D65" s="49">
        <v>173.69</v>
      </c>
      <c r="E65" s="64">
        <f t="shared" si="1"/>
        <v>-3.3448704772824911E-3</v>
      </c>
      <c r="F65" s="49">
        <v>13.4</v>
      </c>
      <c r="G65" s="65">
        <f t="shared" si="2"/>
        <v>1.2606766889911913E-2</v>
      </c>
    </row>
    <row r="66" spans="1:7" ht="16">
      <c r="A66" s="44">
        <v>44414</v>
      </c>
      <c r="B66" s="49">
        <v>16748.080000000002</v>
      </c>
      <c r="C66" s="50">
        <f t="shared" si="0"/>
        <v>-1.2624336890088017E-3</v>
      </c>
      <c r="D66" s="49">
        <v>173.11</v>
      </c>
      <c r="E66" s="64">
        <f t="shared" si="1"/>
        <v>3.4600115251937069E-3</v>
      </c>
      <c r="F66" s="49">
        <v>13.57</v>
      </c>
      <c r="G66" s="65">
        <f t="shared" si="2"/>
        <v>1.4630838893785914E-2</v>
      </c>
    </row>
    <row r="67" spans="1:7" ht="16">
      <c r="A67" s="44">
        <v>44417</v>
      </c>
      <c r="B67" s="49">
        <v>16726.95</v>
      </c>
      <c r="C67" s="50">
        <f t="shared" si="0"/>
        <v>3.9278409841045914E-3</v>
      </c>
      <c r="D67" s="49">
        <v>173.71</v>
      </c>
      <c r="E67" s="64">
        <f t="shared" si="1"/>
        <v>3.4534362033067367E-4</v>
      </c>
      <c r="F67" s="49">
        <v>13.77</v>
      </c>
      <c r="G67" s="65">
        <f t="shared" si="2"/>
        <v>1.0115693194788111E-2</v>
      </c>
    </row>
    <row r="68" spans="1:7" ht="16">
      <c r="A68" s="44">
        <v>44418</v>
      </c>
      <c r="B68" s="49">
        <v>16792.78</v>
      </c>
      <c r="C68" s="50">
        <f t="shared" si="0"/>
        <v>4.9073154723089374E-3</v>
      </c>
      <c r="D68" s="49">
        <v>173.77</v>
      </c>
      <c r="E68" s="64">
        <f t="shared" si="1"/>
        <v>1.726270971289523E-4</v>
      </c>
      <c r="F68" s="49">
        <v>13.91</v>
      </c>
      <c r="G68" s="65">
        <f t="shared" si="2"/>
        <v>-4.3227733020039238E-3</v>
      </c>
    </row>
    <row r="69" spans="1:7" ht="16">
      <c r="A69" s="44">
        <v>44419</v>
      </c>
      <c r="B69" s="49">
        <v>16875.39</v>
      </c>
      <c r="C69" s="50">
        <f t="shared" ref="C69:C132" si="3">LN(B70)-LN(B69)</f>
        <v>-2.5306320699769458E-4</v>
      </c>
      <c r="D69" s="49">
        <v>173.8</v>
      </c>
      <c r="E69" s="64">
        <f t="shared" ref="E69:E132" si="4">LN(D70)-LN(D69)</f>
        <v>8.0229656709995822E-3</v>
      </c>
      <c r="F69" s="49">
        <v>13.85</v>
      </c>
      <c r="G69" s="65">
        <f t="shared" ref="G69:G132" si="5">LN(F70)-LN(F69)</f>
        <v>1.4337163146407317E-2</v>
      </c>
    </row>
    <row r="70" spans="1:7" ht="16">
      <c r="A70" s="44">
        <v>44420</v>
      </c>
      <c r="B70" s="49">
        <v>16871.12</v>
      </c>
      <c r="C70" s="50">
        <f t="shared" si="3"/>
        <v>-1.7842730897932313E-4</v>
      </c>
      <c r="D70" s="49">
        <v>175.2</v>
      </c>
      <c r="E70" s="64">
        <f t="shared" si="4"/>
        <v>5.9752631900868991E-3</v>
      </c>
      <c r="F70" s="49">
        <v>14.05</v>
      </c>
      <c r="G70" s="65">
        <f t="shared" si="5"/>
        <v>-0.33306168904928413</v>
      </c>
    </row>
    <row r="71" spans="1:7" ht="16">
      <c r="A71" s="44">
        <v>44421</v>
      </c>
      <c r="B71" s="49">
        <v>16868.11</v>
      </c>
      <c r="C71" s="50">
        <f t="shared" si="3"/>
        <v>-1.8614537111503182E-3</v>
      </c>
      <c r="D71" s="49">
        <v>176.25</v>
      </c>
      <c r="E71" s="64">
        <f t="shared" si="4"/>
        <v>8.9808279635628097E-3</v>
      </c>
      <c r="F71" s="49">
        <v>10.07</v>
      </c>
      <c r="G71" s="65">
        <f t="shared" si="5"/>
        <v>-3.2293421720714921E-2</v>
      </c>
    </row>
    <row r="72" spans="1:7" ht="16">
      <c r="A72" s="44">
        <v>44424</v>
      </c>
      <c r="B72" s="49">
        <v>16836.740000000002</v>
      </c>
      <c r="C72" s="50">
        <f t="shared" si="3"/>
        <v>-7.7278289605811068E-3</v>
      </c>
      <c r="D72" s="49">
        <v>177.84</v>
      </c>
      <c r="E72" s="64">
        <f t="shared" si="4"/>
        <v>9.1237933852443831E-3</v>
      </c>
      <c r="F72" s="49">
        <v>9.75</v>
      </c>
      <c r="G72" s="65">
        <f t="shared" si="5"/>
        <v>-4.1110027065225374E-3</v>
      </c>
    </row>
    <row r="73" spans="1:7" ht="16">
      <c r="A73" s="44">
        <v>44425</v>
      </c>
      <c r="B73" s="49">
        <v>16707.13</v>
      </c>
      <c r="C73" s="50">
        <f t="shared" si="3"/>
        <v>-9.4289289962414813E-3</v>
      </c>
      <c r="D73" s="49">
        <v>179.47</v>
      </c>
      <c r="E73" s="64">
        <f t="shared" si="4"/>
        <v>-1.2785459871206939E-2</v>
      </c>
      <c r="F73" s="49">
        <v>9.7100000000000009</v>
      </c>
      <c r="G73" s="65">
        <f t="shared" si="5"/>
        <v>-3.4576519285100193E-2</v>
      </c>
    </row>
    <row r="74" spans="1:7" ht="16">
      <c r="A74" s="44">
        <v>44426</v>
      </c>
      <c r="B74" s="49">
        <v>16550.34</v>
      </c>
      <c r="C74" s="50">
        <f t="shared" si="3"/>
        <v>-7.3500580139747029E-3</v>
      </c>
      <c r="D74" s="49">
        <v>177.19</v>
      </c>
      <c r="E74" s="64">
        <f t="shared" si="4"/>
        <v>7.7580780390551496E-3</v>
      </c>
      <c r="F74" s="49">
        <v>9.3800000000000008</v>
      </c>
      <c r="G74" s="65">
        <f t="shared" si="5"/>
        <v>-2.3733584332094271E-2</v>
      </c>
    </row>
    <row r="75" spans="1:7" ht="16">
      <c r="A75" s="44">
        <v>44427</v>
      </c>
      <c r="B75" s="49">
        <v>16429.14</v>
      </c>
      <c r="C75" s="50">
        <f t="shared" si="3"/>
        <v>5.3141919682282435E-3</v>
      </c>
      <c r="D75" s="49">
        <v>178.57</v>
      </c>
      <c r="E75" s="64">
        <f t="shared" si="4"/>
        <v>4.8602090029197242E-3</v>
      </c>
      <c r="F75" s="49">
        <v>9.16</v>
      </c>
      <c r="G75" s="65">
        <f t="shared" si="5"/>
        <v>3.9598538980071929E-2</v>
      </c>
    </row>
    <row r="76" spans="1:7" ht="16">
      <c r="A76" s="44">
        <v>44428</v>
      </c>
      <c r="B76" s="49">
        <v>16516.68</v>
      </c>
      <c r="C76" s="50">
        <f t="shared" si="3"/>
        <v>7.9523461741146662E-3</v>
      </c>
      <c r="D76" s="49">
        <v>179.44</v>
      </c>
      <c r="E76" s="64">
        <f t="shared" si="4"/>
        <v>-1.0250754932717321E-2</v>
      </c>
      <c r="F76" s="49">
        <v>9.5299999999999994</v>
      </c>
      <c r="G76" s="65">
        <f t="shared" si="5"/>
        <v>4.1884877987521385E-3</v>
      </c>
    </row>
    <row r="77" spans="1:7" ht="16">
      <c r="A77" s="44">
        <v>44431</v>
      </c>
      <c r="B77" s="49">
        <v>16648.55</v>
      </c>
      <c r="C77" s="50">
        <f t="shared" si="3"/>
        <v>5.5472322150222908E-3</v>
      </c>
      <c r="D77" s="49">
        <v>177.61</v>
      </c>
      <c r="E77" s="64">
        <f t="shared" si="4"/>
        <v>-1.2578069509189937E-2</v>
      </c>
      <c r="F77" s="49">
        <v>9.57</v>
      </c>
      <c r="G77" s="65">
        <f t="shared" si="5"/>
        <v>8.2210599646272975E-2</v>
      </c>
    </row>
    <row r="78" spans="1:7" ht="16">
      <c r="A78" s="44">
        <v>44432</v>
      </c>
      <c r="B78" s="49">
        <v>16741.16</v>
      </c>
      <c r="C78" s="50">
        <f t="shared" si="3"/>
        <v>4.272522443814708E-3</v>
      </c>
      <c r="D78" s="49">
        <v>175.39</v>
      </c>
      <c r="E78" s="64">
        <f t="shared" si="4"/>
        <v>-6.6358003352320338E-3</v>
      </c>
      <c r="F78" s="49">
        <v>10.39</v>
      </c>
      <c r="G78" s="65">
        <f t="shared" si="5"/>
        <v>-2.6330141251816652E-2</v>
      </c>
    </row>
    <row r="79" spans="1:7" ht="16">
      <c r="A79" s="44">
        <v>44433</v>
      </c>
      <c r="B79" s="49">
        <v>16812.84</v>
      </c>
      <c r="C79" s="50">
        <f t="shared" si="3"/>
        <v>-7.0743383975155893E-3</v>
      </c>
      <c r="D79" s="49">
        <v>174.23</v>
      </c>
      <c r="E79" s="64">
        <f t="shared" si="4"/>
        <v>-5.3520687132531108E-3</v>
      </c>
      <c r="F79" s="49">
        <v>10.119999999999999</v>
      </c>
      <c r="G79" s="65">
        <f t="shared" si="5"/>
        <v>-3.5197197804627933E-2</v>
      </c>
    </row>
    <row r="80" spans="1:7" ht="16">
      <c r="A80" s="44">
        <v>44434</v>
      </c>
      <c r="B80" s="49">
        <v>16694.32</v>
      </c>
      <c r="C80" s="50">
        <f t="shared" si="3"/>
        <v>8.9704937408292551E-3</v>
      </c>
      <c r="D80" s="49">
        <v>173.3</v>
      </c>
      <c r="E80" s="64">
        <f t="shared" si="4"/>
        <v>-2.1373083837303852E-3</v>
      </c>
      <c r="F80" s="49">
        <v>9.77</v>
      </c>
      <c r="G80" s="65">
        <f t="shared" si="5"/>
        <v>2.3268626939354498E-2</v>
      </c>
    </row>
    <row r="81" spans="1:7" ht="16">
      <c r="A81" s="44">
        <v>44435</v>
      </c>
      <c r="B81" s="49">
        <v>16844.75</v>
      </c>
      <c r="C81" s="50">
        <f t="shared" si="3"/>
        <v>-1.4923788682441597E-3</v>
      </c>
      <c r="D81" s="49">
        <v>172.93</v>
      </c>
      <c r="E81" s="64">
        <f t="shared" si="4"/>
        <v>4.2124762946684768E-3</v>
      </c>
      <c r="F81" s="49">
        <v>10</v>
      </c>
      <c r="G81" s="65">
        <f t="shared" si="5"/>
        <v>3.9920212695370161E-3</v>
      </c>
    </row>
    <row r="82" spans="1:7" ht="16">
      <c r="A82" s="44">
        <v>44438</v>
      </c>
      <c r="B82" s="49">
        <v>16819.63</v>
      </c>
      <c r="C82" s="50">
        <f t="shared" si="3"/>
        <v>-7.845103918757701E-4</v>
      </c>
      <c r="D82" s="49">
        <v>173.66</v>
      </c>
      <c r="E82" s="64">
        <f t="shared" si="4"/>
        <v>-3.0566072415139089E-3</v>
      </c>
      <c r="F82" s="49">
        <v>10.039999999999999</v>
      </c>
      <c r="G82" s="65">
        <f t="shared" si="5"/>
        <v>1.3847896858793618E-2</v>
      </c>
    </row>
    <row r="83" spans="1:7" ht="16">
      <c r="A83" s="44">
        <v>44439</v>
      </c>
      <c r="B83" s="49">
        <v>16806.439999999999</v>
      </c>
      <c r="C83" s="50">
        <f t="shared" si="3"/>
        <v>2.3504999911736491E-3</v>
      </c>
      <c r="D83" s="49">
        <v>173.13</v>
      </c>
      <c r="E83" s="64">
        <f t="shared" si="4"/>
        <v>3.517171440789113E-3</v>
      </c>
      <c r="F83" s="49">
        <v>10.18</v>
      </c>
      <c r="G83" s="65">
        <f t="shared" si="5"/>
        <v>3.6648267155738878E-2</v>
      </c>
    </row>
    <row r="84" spans="1:7" ht="16">
      <c r="A84" s="44">
        <v>44440</v>
      </c>
      <c r="B84" s="49">
        <v>16845.990000000002</v>
      </c>
      <c r="C84" s="50">
        <f t="shared" si="3"/>
        <v>4.7807921699796196E-3</v>
      </c>
      <c r="D84" s="49">
        <v>173.74</v>
      </c>
      <c r="E84" s="64">
        <f t="shared" si="4"/>
        <v>6.8259650704005637E-3</v>
      </c>
      <c r="F84" s="49">
        <v>10.56</v>
      </c>
      <c r="G84" s="65">
        <f t="shared" si="5"/>
        <v>2.8368813351997701E-3</v>
      </c>
    </row>
    <row r="85" spans="1:7" ht="16">
      <c r="A85" s="44">
        <v>44441</v>
      </c>
      <c r="B85" s="49">
        <v>16926.72</v>
      </c>
      <c r="C85" s="50">
        <f t="shared" si="3"/>
        <v>-1.0048339264052686E-3</v>
      </c>
      <c r="D85" s="49">
        <v>174.93</v>
      </c>
      <c r="E85" s="64">
        <f t="shared" si="4"/>
        <v>6.2862533144159016E-4</v>
      </c>
      <c r="F85" s="49">
        <v>10.59</v>
      </c>
      <c r="G85" s="65">
        <f t="shared" si="5"/>
        <v>-1.8903597311688003E-3</v>
      </c>
    </row>
    <row r="86" spans="1:7" ht="16">
      <c r="A86" s="44">
        <v>44442</v>
      </c>
      <c r="B86" s="49">
        <v>16909.72</v>
      </c>
      <c r="C86" s="50">
        <f t="shared" si="3"/>
        <v>-6.4394824859714817E-3</v>
      </c>
      <c r="D86" s="49">
        <v>175.04</v>
      </c>
      <c r="E86" s="64">
        <f t="shared" si="4"/>
        <v>-1.566130582553793E-2</v>
      </c>
      <c r="F86" s="49">
        <v>10.57</v>
      </c>
      <c r="G86" s="65">
        <f t="shared" si="5"/>
        <v>1.5955289198572142E-2</v>
      </c>
    </row>
    <row r="87" spans="1:7" ht="16">
      <c r="A87" s="44">
        <v>44446</v>
      </c>
      <c r="B87" s="49">
        <v>16801.18</v>
      </c>
      <c r="C87" s="50">
        <f t="shared" si="3"/>
        <v>-4.1828475022853695E-3</v>
      </c>
      <c r="D87" s="49">
        <v>172.32</v>
      </c>
      <c r="E87" s="64">
        <f t="shared" si="4"/>
        <v>-2.4403010192743935E-3</v>
      </c>
      <c r="F87" s="49">
        <v>10.74</v>
      </c>
      <c r="G87" s="65">
        <f t="shared" si="5"/>
        <v>-3.4094211342976077E-2</v>
      </c>
    </row>
    <row r="88" spans="1:7" ht="16">
      <c r="A88" s="44">
        <v>44447</v>
      </c>
      <c r="B88" s="49">
        <v>16731.05</v>
      </c>
      <c r="C88" s="50">
        <f t="shared" si="3"/>
        <v>-4.0683804206835816E-3</v>
      </c>
      <c r="D88" s="49">
        <v>171.9</v>
      </c>
      <c r="E88" s="64">
        <f t="shared" si="4"/>
        <v>-2.2532353100328528E-2</v>
      </c>
      <c r="F88" s="49">
        <v>10.38</v>
      </c>
      <c r="G88" s="65">
        <f t="shared" si="5"/>
        <v>-1.065385379727557E-2</v>
      </c>
    </row>
    <row r="89" spans="1:7" ht="16">
      <c r="A89" s="44">
        <v>44448</v>
      </c>
      <c r="B89" s="49">
        <v>16663.12</v>
      </c>
      <c r="C89" s="50">
        <f t="shared" si="3"/>
        <v>-5.9976223076052548E-3</v>
      </c>
      <c r="D89" s="49">
        <v>168.07</v>
      </c>
      <c r="E89" s="64">
        <f t="shared" si="4"/>
        <v>-6.5664037276098597E-3</v>
      </c>
      <c r="F89" s="49">
        <v>10.27</v>
      </c>
      <c r="G89" s="65">
        <f t="shared" si="5"/>
        <v>-9.7418419784345289E-4</v>
      </c>
    </row>
    <row r="90" spans="1:7" ht="16">
      <c r="A90" s="44">
        <v>44449</v>
      </c>
      <c r="B90" s="49">
        <v>16563.48</v>
      </c>
      <c r="C90" s="50">
        <f t="shared" si="3"/>
        <v>4.3320819329579763E-3</v>
      </c>
      <c r="D90" s="49">
        <v>166.97</v>
      </c>
      <c r="E90" s="64">
        <f t="shared" si="4"/>
        <v>-7.0319128596709746E-3</v>
      </c>
      <c r="F90" s="49">
        <v>10.26</v>
      </c>
      <c r="G90" s="65">
        <f t="shared" si="5"/>
        <v>6.4172957251211749E-2</v>
      </c>
    </row>
    <row r="91" spans="1:7" ht="16">
      <c r="A91" s="44">
        <v>44452</v>
      </c>
      <c r="B91" s="49">
        <v>16635.39</v>
      </c>
      <c r="C91" s="50">
        <f t="shared" si="3"/>
        <v>-8.3398657148201494E-3</v>
      </c>
      <c r="D91" s="49">
        <v>165.8</v>
      </c>
      <c r="E91" s="64">
        <f t="shared" si="4"/>
        <v>-6.0496252258230854E-3</v>
      </c>
      <c r="F91" s="49">
        <v>10.94</v>
      </c>
      <c r="G91" s="65">
        <f t="shared" si="5"/>
        <v>-3.2515637380519991E-2</v>
      </c>
    </row>
    <row r="92" spans="1:7" ht="16">
      <c r="A92" s="44">
        <v>44453</v>
      </c>
      <c r="B92" s="49">
        <v>16497.23</v>
      </c>
      <c r="C92" s="50">
        <f t="shared" si="3"/>
        <v>7.828174829882073E-3</v>
      </c>
      <c r="D92" s="49">
        <v>164.8</v>
      </c>
      <c r="E92" s="64">
        <f t="shared" si="4"/>
        <v>3.7550767883889336E-3</v>
      </c>
      <c r="F92" s="49">
        <v>10.59</v>
      </c>
      <c r="G92" s="65">
        <f t="shared" si="5"/>
        <v>-3.7842996912398341E-3</v>
      </c>
    </row>
    <row r="93" spans="1:7" ht="16">
      <c r="A93" s="44">
        <v>44454</v>
      </c>
      <c r="B93" s="49">
        <v>16626.88</v>
      </c>
      <c r="C93" s="50">
        <f t="shared" si="3"/>
        <v>-3.0183451544356643E-3</v>
      </c>
      <c r="D93" s="49">
        <v>165.42</v>
      </c>
      <c r="E93" s="64">
        <f t="shared" si="4"/>
        <v>-1.2097751294009029E-3</v>
      </c>
      <c r="F93" s="49">
        <v>10.55</v>
      </c>
      <c r="G93" s="65">
        <f t="shared" si="5"/>
        <v>5.6710927038161607E-3</v>
      </c>
    </row>
    <row r="94" spans="1:7" ht="16">
      <c r="A94" s="44">
        <v>44455</v>
      </c>
      <c r="B94" s="49">
        <v>16576.77</v>
      </c>
      <c r="C94" s="50">
        <f t="shared" si="3"/>
        <v>-7.0478590085247816E-3</v>
      </c>
      <c r="D94" s="49">
        <v>165.22</v>
      </c>
      <c r="E94" s="64">
        <f t="shared" si="4"/>
        <v>-2.8487457517432091E-3</v>
      </c>
      <c r="F94" s="49">
        <v>10.61</v>
      </c>
      <c r="G94" s="65">
        <f t="shared" si="5"/>
        <v>1.0314203016764445E-2</v>
      </c>
    </row>
    <row r="95" spans="1:7" ht="16">
      <c r="A95" s="44">
        <v>44456</v>
      </c>
      <c r="B95" s="49">
        <v>16460.349999999999</v>
      </c>
      <c r="C95" s="50">
        <f t="shared" si="3"/>
        <v>-1.7909964049581006E-2</v>
      </c>
      <c r="D95" s="49">
        <v>164.75</v>
      </c>
      <c r="E95" s="64">
        <f t="shared" si="4"/>
        <v>-5.7219537660762043E-3</v>
      </c>
      <c r="F95" s="49">
        <v>10.72</v>
      </c>
      <c r="G95" s="65">
        <f t="shared" si="5"/>
        <v>-5.4637450154859657E-2</v>
      </c>
    </row>
    <row r="96" spans="1:7" ht="16">
      <c r="A96" s="44">
        <v>44459</v>
      </c>
      <c r="B96" s="49">
        <v>16168.17</v>
      </c>
      <c r="C96" s="50">
        <f t="shared" si="3"/>
        <v>1.0094994562610538E-3</v>
      </c>
      <c r="D96" s="49">
        <v>163.81</v>
      </c>
      <c r="E96" s="64">
        <f t="shared" si="4"/>
        <v>4.3857047820186068E-3</v>
      </c>
      <c r="F96" s="49">
        <v>10.15</v>
      </c>
      <c r="G96" s="65">
        <f t="shared" si="5"/>
        <v>5.5569851154810834E-2</v>
      </c>
    </row>
    <row r="97" spans="1:7" ht="16">
      <c r="A97" s="44">
        <v>44460</v>
      </c>
      <c r="B97" s="49">
        <v>16184.5</v>
      </c>
      <c r="C97" s="50">
        <f t="shared" si="3"/>
        <v>1.0307227689459353E-2</v>
      </c>
      <c r="D97" s="49">
        <v>164.53</v>
      </c>
      <c r="E97" s="64">
        <f t="shared" si="4"/>
        <v>-3.6534169601933897E-3</v>
      </c>
      <c r="F97" s="49">
        <v>10.73</v>
      </c>
      <c r="G97" s="65">
        <f t="shared" si="5"/>
        <v>1.6636243202372114E-2</v>
      </c>
    </row>
    <row r="98" spans="1:7" ht="16">
      <c r="A98" s="44">
        <v>44461</v>
      </c>
      <c r="B98" s="49">
        <v>16352.18</v>
      </c>
      <c r="C98" s="50">
        <f t="shared" si="3"/>
        <v>1.3067236893974155E-2</v>
      </c>
      <c r="D98" s="49">
        <v>163.93</v>
      </c>
      <c r="E98" s="64">
        <f t="shared" si="4"/>
        <v>5.6571214467160402E-3</v>
      </c>
      <c r="F98" s="49">
        <v>10.91</v>
      </c>
      <c r="G98" s="65">
        <f t="shared" si="5"/>
        <v>4.8309930155269409E-2</v>
      </c>
    </row>
    <row r="99" spans="1:7" ht="16">
      <c r="A99" s="44">
        <v>44462</v>
      </c>
      <c r="B99" s="49">
        <v>16567.259999999998</v>
      </c>
      <c r="C99" s="50">
        <f t="shared" si="3"/>
        <v>-1.6981609757849014E-3</v>
      </c>
      <c r="D99" s="49">
        <v>164.86</v>
      </c>
      <c r="E99" s="64">
        <f t="shared" si="4"/>
        <v>-3.037484869872209E-3</v>
      </c>
      <c r="F99" s="49">
        <v>11.45</v>
      </c>
      <c r="G99" s="65">
        <f t="shared" si="5"/>
        <v>-5.5669668987349485E-2</v>
      </c>
    </row>
    <row r="100" spans="1:7" ht="16">
      <c r="A100" s="44">
        <v>44463</v>
      </c>
      <c r="B100" s="49">
        <v>16539.150000000001</v>
      </c>
      <c r="C100" s="50">
        <f t="shared" si="3"/>
        <v>3.6597469733816723E-3</v>
      </c>
      <c r="D100" s="49">
        <v>164.36</v>
      </c>
      <c r="E100" s="64">
        <f t="shared" si="4"/>
        <v>-7.2665419122301955E-3</v>
      </c>
      <c r="F100" s="49">
        <v>10.83</v>
      </c>
      <c r="G100" s="65">
        <f t="shared" si="5"/>
        <v>-9.2378759456357429E-4</v>
      </c>
    </row>
    <row r="101" spans="1:7" ht="16">
      <c r="A101" s="44">
        <v>44466</v>
      </c>
      <c r="B101" s="49">
        <v>16599.79</v>
      </c>
      <c r="C101" s="50">
        <f t="shared" si="3"/>
        <v>-1.6460849612871087E-2</v>
      </c>
      <c r="D101" s="49">
        <v>163.16999999999999</v>
      </c>
      <c r="E101" s="64">
        <f t="shared" si="4"/>
        <v>-2.2087253595559631E-3</v>
      </c>
      <c r="F101" s="49">
        <v>10.82</v>
      </c>
      <c r="G101" s="65">
        <f t="shared" si="5"/>
        <v>-7.4211843376170705E-3</v>
      </c>
    </row>
    <row r="102" spans="1:7" ht="16">
      <c r="A102" s="44">
        <v>44467</v>
      </c>
      <c r="B102" s="49">
        <v>16328.78</v>
      </c>
      <c r="C102" s="50">
        <f t="shared" si="3"/>
        <v>9.8611519951496973E-4</v>
      </c>
      <c r="D102" s="49">
        <v>162.81</v>
      </c>
      <c r="E102" s="64">
        <f t="shared" si="4"/>
        <v>7.4044948648417375E-3</v>
      </c>
      <c r="F102" s="49">
        <v>10.74</v>
      </c>
      <c r="G102" s="65">
        <f t="shared" si="5"/>
        <v>-2.3552666672512768E-2</v>
      </c>
    </row>
    <row r="103" spans="1:7" ht="16">
      <c r="A103" s="44">
        <v>44468</v>
      </c>
      <c r="B103" s="49">
        <v>16344.89</v>
      </c>
      <c r="C103" s="50">
        <f t="shared" si="3"/>
        <v>-1.2309861163206648E-2</v>
      </c>
      <c r="D103" s="49">
        <v>164.02</v>
      </c>
      <c r="E103" s="64">
        <f t="shared" si="4"/>
        <v>-1.5483228945553762E-2</v>
      </c>
      <c r="F103" s="49">
        <v>10.49</v>
      </c>
      <c r="G103" s="65">
        <f t="shared" si="5"/>
        <v>-1.054154467046331E-2</v>
      </c>
    </row>
    <row r="104" spans="1:7" ht="16">
      <c r="A104" s="44">
        <v>44469</v>
      </c>
      <c r="B104" s="49">
        <v>16144.92</v>
      </c>
      <c r="C104" s="50">
        <f t="shared" si="3"/>
        <v>1.1015040844453594E-2</v>
      </c>
      <c r="D104" s="49">
        <v>161.5</v>
      </c>
      <c r="E104" s="64">
        <f t="shared" si="4"/>
        <v>-6.3981334514426891E-3</v>
      </c>
      <c r="F104" s="49">
        <v>10.38</v>
      </c>
      <c r="G104" s="65">
        <f t="shared" si="5"/>
        <v>-1.5534292962184004E-2</v>
      </c>
    </row>
    <row r="105" spans="1:7" ht="16">
      <c r="A105" s="44">
        <v>44470</v>
      </c>
      <c r="B105" s="49">
        <v>16323.74</v>
      </c>
      <c r="C105" s="50">
        <f t="shared" si="3"/>
        <v>-7.6981405493601329E-3</v>
      </c>
      <c r="D105" s="49">
        <v>160.47</v>
      </c>
      <c r="E105" s="64">
        <f t="shared" si="4"/>
        <v>-7.8201155508361708E-3</v>
      </c>
      <c r="F105" s="49">
        <v>10.220000000000001</v>
      </c>
      <c r="G105" s="65">
        <f t="shared" si="5"/>
        <v>-4.6054184350557303E-2</v>
      </c>
    </row>
    <row r="106" spans="1:7" ht="16">
      <c r="A106" s="44">
        <v>44473</v>
      </c>
      <c r="B106" s="49">
        <v>16198.56</v>
      </c>
      <c r="C106" s="50">
        <f t="shared" si="3"/>
        <v>7.9033420717564695E-3</v>
      </c>
      <c r="D106" s="49">
        <v>159.22</v>
      </c>
      <c r="E106" s="64">
        <f t="shared" si="4"/>
        <v>2.2584702197026019E-3</v>
      </c>
      <c r="F106" s="49">
        <v>9.76</v>
      </c>
      <c r="G106" s="65">
        <f t="shared" si="5"/>
        <v>-1.0298752200574413E-2</v>
      </c>
    </row>
    <row r="107" spans="1:7" ht="16">
      <c r="A107" s="44">
        <v>44474</v>
      </c>
      <c r="B107" s="49">
        <v>16327.09</v>
      </c>
      <c r="C107" s="50">
        <f t="shared" si="3"/>
        <v>6.9614627392944328E-4</v>
      </c>
      <c r="D107" s="49">
        <v>159.58000000000001</v>
      </c>
      <c r="E107" s="64">
        <f t="shared" si="4"/>
        <v>2.0657930912157951E-3</v>
      </c>
      <c r="F107" s="49">
        <v>9.66</v>
      </c>
      <c r="G107" s="65">
        <f t="shared" si="5"/>
        <v>-1.4598799421152719E-2</v>
      </c>
    </row>
    <row r="108" spans="1:7" ht="16">
      <c r="A108" s="44">
        <v>44475</v>
      </c>
      <c r="B108" s="49">
        <v>16338.46</v>
      </c>
      <c r="C108" s="50">
        <f t="shared" si="3"/>
        <v>1.0554044705719079E-2</v>
      </c>
      <c r="D108" s="49">
        <v>159.91</v>
      </c>
      <c r="E108" s="64">
        <f t="shared" si="4"/>
        <v>8.9027825374774494E-3</v>
      </c>
      <c r="F108" s="49">
        <v>9.52</v>
      </c>
      <c r="G108" s="65">
        <f t="shared" si="5"/>
        <v>3.1463056893650254E-3</v>
      </c>
    </row>
    <row r="109" spans="1:7" ht="16">
      <c r="A109" s="44">
        <v>44476</v>
      </c>
      <c r="B109" s="49">
        <v>16511.810000000001</v>
      </c>
      <c r="C109" s="50">
        <f t="shared" si="3"/>
        <v>3.2819603891809379E-4</v>
      </c>
      <c r="D109" s="49">
        <v>161.34</v>
      </c>
      <c r="E109" s="64">
        <f t="shared" si="4"/>
        <v>-2.5444516784247639E-3</v>
      </c>
      <c r="F109" s="49">
        <v>9.5500000000000007</v>
      </c>
      <c r="G109" s="65">
        <f t="shared" si="5"/>
        <v>0</v>
      </c>
    </row>
    <row r="110" spans="1:7" ht="16">
      <c r="A110" s="44">
        <v>44477</v>
      </c>
      <c r="B110" s="49">
        <v>16517.23</v>
      </c>
      <c r="C110" s="50">
        <f t="shared" si="3"/>
        <v>-5.2908859497335925E-3</v>
      </c>
      <c r="D110" s="49">
        <v>160.93</v>
      </c>
      <c r="E110" s="64">
        <f t="shared" si="4"/>
        <v>-4.2343920296241677E-3</v>
      </c>
      <c r="F110" s="49">
        <v>9.5500000000000007</v>
      </c>
      <c r="G110" s="65">
        <f t="shared" si="5"/>
        <v>-2.3306139633386458E-2</v>
      </c>
    </row>
    <row r="111" spans="1:7" ht="16">
      <c r="A111" s="44">
        <v>44480</v>
      </c>
      <c r="B111" s="49">
        <v>16430.07</v>
      </c>
      <c r="C111" s="50">
        <f t="shared" si="3"/>
        <v>7.1063911225621723E-4</v>
      </c>
      <c r="D111" s="49">
        <v>160.25</v>
      </c>
      <c r="E111" s="64">
        <f t="shared" si="4"/>
        <v>-1.6104015383283432E-2</v>
      </c>
      <c r="F111" s="49">
        <v>9.33</v>
      </c>
      <c r="G111" s="65">
        <f t="shared" si="5"/>
        <v>-1.1859977290749946E-2</v>
      </c>
    </row>
    <row r="112" spans="1:7" ht="16">
      <c r="A112" s="44">
        <v>44481</v>
      </c>
      <c r="B112" s="49">
        <v>16441.75</v>
      </c>
      <c r="C112" s="50">
        <f t="shared" si="3"/>
        <v>4.3338071181402427E-3</v>
      </c>
      <c r="D112" s="49">
        <v>157.69</v>
      </c>
      <c r="E112" s="64">
        <f t="shared" si="4"/>
        <v>9.5301929927869011E-3</v>
      </c>
      <c r="F112" s="49">
        <v>9.2200000000000006</v>
      </c>
      <c r="G112" s="65">
        <f t="shared" si="5"/>
        <v>2.7809278698427864E-2</v>
      </c>
    </row>
    <row r="113" spans="1:7" ht="16">
      <c r="A113" s="44">
        <v>44482</v>
      </c>
      <c r="B113" s="49">
        <v>16513.16</v>
      </c>
      <c r="C113" s="50">
        <f t="shared" si="3"/>
        <v>1.389966586101643E-2</v>
      </c>
      <c r="D113" s="49">
        <v>159.19999999999999</v>
      </c>
      <c r="E113" s="64">
        <f t="shared" si="4"/>
        <v>5.6998056036805522E-3</v>
      </c>
      <c r="F113" s="49">
        <v>9.48</v>
      </c>
      <c r="G113" s="65">
        <f t="shared" si="5"/>
        <v>-9.5390230467589099E-3</v>
      </c>
    </row>
    <row r="114" spans="1:7" ht="16">
      <c r="A114" s="44">
        <v>44483</v>
      </c>
      <c r="B114" s="49">
        <v>16744.29</v>
      </c>
      <c r="C114" s="50">
        <f t="shared" si="3"/>
        <v>7.5827282801466112E-3</v>
      </c>
      <c r="D114" s="49">
        <v>160.11000000000001</v>
      </c>
      <c r="E114" s="64">
        <f t="shared" si="4"/>
        <v>7.4049061172001274E-3</v>
      </c>
      <c r="F114" s="49">
        <v>9.39</v>
      </c>
      <c r="G114" s="65">
        <f t="shared" si="5"/>
        <v>-1.6103407566578909E-2</v>
      </c>
    </row>
    <row r="115" spans="1:7" ht="16">
      <c r="A115" s="44">
        <v>44484</v>
      </c>
      <c r="B115" s="49">
        <v>16871.740000000002</v>
      </c>
      <c r="C115" s="50">
        <f t="shared" si="3"/>
        <v>-5.7746341026287951E-4</v>
      </c>
      <c r="D115" s="49">
        <v>161.30000000000001</v>
      </c>
      <c r="E115" s="64">
        <f t="shared" si="4"/>
        <v>-7.3424510067905402E-3</v>
      </c>
      <c r="F115" s="49">
        <v>9.24</v>
      </c>
      <c r="G115" s="65">
        <f t="shared" si="5"/>
        <v>-1.0881500187533977E-2</v>
      </c>
    </row>
    <row r="116" spans="1:7" ht="16">
      <c r="A116" s="44">
        <v>44487</v>
      </c>
      <c r="B116" s="49">
        <v>16862</v>
      </c>
      <c r="C116" s="50">
        <f t="shared" si="3"/>
        <v>7.4540613191835803E-3</v>
      </c>
      <c r="D116" s="49">
        <v>160.12</v>
      </c>
      <c r="E116" s="64">
        <f t="shared" si="4"/>
        <v>2.3149896433760198E-2</v>
      </c>
      <c r="F116" s="49">
        <v>9.14</v>
      </c>
      <c r="G116" s="65">
        <f t="shared" si="5"/>
        <v>2.4852710784271981E-2</v>
      </c>
    </row>
    <row r="117" spans="1:7" ht="16">
      <c r="A117" s="44">
        <v>44488</v>
      </c>
      <c r="B117" s="49">
        <v>16988.16</v>
      </c>
      <c r="C117" s="50">
        <f t="shared" si="3"/>
        <v>6.515632791337822E-3</v>
      </c>
      <c r="D117" s="49">
        <v>163.87</v>
      </c>
      <c r="E117" s="64">
        <f t="shared" si="4"/>
        <v>-5.4936671609073784E-4</v>
      </c>
      <c r="F117" s="49">
        <v>9.3699999999999992</v>
      </c>
      <c r="G117" s="65">
        <f t="shared" si="5"/>
        <v>1.5881752552943329E-2</v>
      </c>
    </row>
    <row r="118" spans="1:7" ht="16">
      <c r="A118" s="44">
        <v>44489</v>
      </c>
      <c r="B118" s="49">
        <v>17099.21</v>
      </c>
      <c r="C118" s="50">
        <f t="shared" si="3"/>
        <v>-9.3966602550032974E-4</v>
      </c>
      <c r="D118" s="49">
        <v>163.78</v>
      </c>
      <c r="E118" s="64">
        <f t="shared" si="4"/>
        <v>-2.3228814161395661E-3</v>
      </c>
      <c r="F118" s="49">
        <v>9.52</v>
      </c>
      <c r="G118" s="65">
        <f t="shared" si="5"/>
        <v>4.1928782600360037E-3</v>
      </c>
    </row>
    <row r="119" spans="1:7" ht="16">
      <c r="A119" s="44">
        <v>44490</v>
      </c>
      <c r="B119" s="49">
        <v>17083.150000000001</v>
      </c>
      <c r="C119" s="50">
        <f t="shared" si="3"/>
        <v>2.2856056906324085E-3</v>
      </c>
      <c r="D119" s="49">
        <v>163.4</v>
      </c>
      <c r="E119" s="64">
        <f t="shared" si="4"/>
        <v>1.9564691982996152E-3</v>
      </c>
      <c r="F119" s="49">
        <v>9.56</v>
      </c>
      <c r="G119" s="65">
        <f t="shared" si="5"/>
        <v>-1.9007964045176795E-2</v>
      </c>
    </row>
    <row r="120" spans="1:7" ht="16">
      <c r="A120" s="44">
        <v>44491</v>
      </c>
      <c r="B120" s="49">
        <v>17122.240000000002</v>
      </c>
      <c r="C120" s="50">
        <f t="shared" si="3"/>
        <v>2.7313059263569528E-3</v>
      </c>
      <c r="D120" s="49">
        <v>163.72</v>
      </c>
      <c r="E120" s="64">
        <f t="shared" si="4"/>
        <v>2.1964621399233053E-3</v>
      </c>
      <c r="F120" s="49">
        <v>9.3800000000000008</v>
      </c>
      <c r="G120" s="65">
        <f t="shared" si="5"/>
        <v>1.2712035588362092E-2</v>
      </c>
    </row>
    <row r="121" spans="1:7" ht="16">
      <c r="A121" s="44">
        <v>44494</v>
      </c>
      <c r="B121" s="49">
        <v>17169.07</v>
      </c>
      <c r="C121" s="50">
        <f t="shared" si="3"/>
        <v>-1.394174419496963E-3</v>
      </c>
      <c r="D121" s="49">
        <v>164.08</v>
      </c>
      <c r="E121" s="64">
        <f t="shared" si="4"/>
        <v>1.0126515301846162E-2</v>
      </c>
      <c r="F121" s="49">
        <v>9.5</v>
      </c>
      <c r="G121" s="65">
        <f t="shared" si="5"/>
        <v>-3.1628914085084503E-3</v>
      </c>
    </row>
    <row r="122" spans="1:7" ht="16">
      <c r="A122" s="44">
        <v>44495</v>
      </c>
      <c r="B122" s="49">
        <v>17145.150000000001</v>
      </c>
      <c r="C122" s="50">
        <f t="shared" si="3"/>
        <v>-1.3196522228270169E-2</v>
      </c>
      <c r="D122" s="49">
        <v>165.75</v>
      </c>
      <c r="E122" s="64">
        <f t="shared" si="4"/>
        <v>-1.2200825117669289E-2</v>
      </c>
      <c r="F122" s="49">
        <v>9.4700000000000006</v>
      </c>
      <c r="G122" s="65">
        <f t="shared" si="5"/>
        <v>-5.2016058714457802E-2</v>
      </c>
    </row>
    <row r="123" spans="1:7" ht="16">
      <c r="A123" s="44">
        <v>44496</v>
      </c>
      <c r="B123" s="49">
        <v>16920.38</v>
      </c>
      <c r="C123" s="50">
        <f t="shared" si="3"/>
        <v>9.2137163503736019E-3</v>
      </c>
      <c r="D123" s="49">
        <v>163.74</v>
      </c>
      <c r="E123" s="64">
        <f t="shared" si="4"/>
        <v>-5.4502722260600933E-3</v>
      </c>
      <c r="F123" s="49">
        <v>8.99</v>
      </c>
      <c r="G123" s="65">
        <f t="shared" si="5"/>
        <v>-1.1185798957715765E-2</v>
      </c>
    </row>
    <row r="124" spans="1:7" ht="16">
      <c r="A124" s="44">
        <v>44497</v>
      </c>
      <c r="B124" s="49">
        <v>17077</v>
      </c>
      <c r="C124" s="50">
        <f t="shared" si="3"/>
        <v>-3.5543563280047152E-3</v>
      </c>
      <c r="D124" s="49">
        <v>162.85</v>
      </c>
      <c r="E124" s="64">
        <f t="shared" si="4"/>
        <v>1.842016399153934E-4</v>
      </c>
      <c r="F124" s="49">
        <v>8.89</v>
      </c>
      <c r="G124" s="65">
        <f t="shared" si="5"/>
        <v>2.8826829761616768E-2</v>
      </c>
    </row>
    <row r="125" spans="1:7" ht="16">
      <c r="A125" s="44">
        <v>44498</v>
      </c>
      <c r="B125" s="49">
        <v>17016.41</v>
      </c>
      <c r="C125" s="50">
        <f t="shared" si="3"/>
        <v>6.7161850569998904E-3</v>
      </c>
      <c r="D125" s="49">
        <v>162.88</v>
      </c>
      <c r="E125" s="64">
        <f t="shared" si="4"/>
        <v>8.5915930415403352E-4</v>
      </c>
      <c r="F125" s="49">
        <v>9.15</v>
      </c>
      <c r="G125" s="65">
        <f t="shared" si="5"/>
        <v>9.788006366162616E-3</v>
      </c>
    </row>
    <row r="126" spans="1:7" ht="16">
      <c r="A126" s="44">
        <v>44501</v>
      </c>
      <c r="B126" s="49">
        <v>17131.080000000002</v>
      </c>
      <c r="C126" s="50">
        <f t="shared" si="3"/>
        <v>-8.6605296979058721E-4</v>
      </c>
      <c r="D126" s="49">
        <v>163.02000000000001</v>
      </c>
      <c r="E126" s="64">
        <f t="shared" si="4"/>
        <v>1.5641960988081571E-2</v>
      </c>
      <c r="F126" s="49">
        <v>9.24</v>
      </c>
      <c r="G126" s="65">
        <f t="shared" si="5"/>
        <v>2.7749912952902633E-2</v>
      </c>
    </row>
    <row r="127" spans="1:7" ht="16">
      <c r="A127" s="44">
        <v>44502</v>
      </c>
      <c r="B127" s="49">
        <v>17116.25</v>
      </c>
      <c r="C127" s="50">
        <f t="shared" si="3"/>
        <v>5.4477790155154082E-3</v>
      </c>
      <c r="D127" s="49">
        <v>165.59</v>
      </c>
      <c r="E127" s="64">
        <f t="shared" si="4"/>
        <v>-3.2058094898550493E-3</v>
      </c>
      <c r="F127" s="49">
        <v>9.5</v>
      </c>
      <c r="G127" s="65">
        <f t="shared" si="5"/>
        <v>6.02530357590223E-2</v>
      </c>
    </row>
    <row r="128" spans="1:7" ht="16">
      <c r="A128" s="44">
        <v>44503</v>
      </c>
      <c r="B128" s="49">
        <v>17209.75</v>
      </c>
      <c r="C128" s="50">
        <f t="shared" si="3"/>
        <v>-2.3782233997717839E-3</v>
      </c>
      <c r="D128" s="49">
        <v>165.06</v>
      </c>
      <c r="E128" s="64">
        <f t="shared" si="4"/>
        <v>-2.7907559215689659E-3</v>
      </c>
      <c r="F128" s="49">
        <v>10.09</v>
      </c>
      <c r="G128" s="65">
        <f t="shared" si="5"/>
        <v>-9.1254984098302128E-2</v>
      </c>
    </row>
    <row r="129" spans="1:7" ht="16">
      <c r="A129" s="44">
        <v>44504</v>
      </c>
      <c r="B129" s="49">
        <v>17168.87</v>
      </c>
      <c r="C129" s="50">
        <f t="shared" si="3"/>
        <v>4.2712865380618581E-3</v>
      </c>
      <c r="D129" s="49">
        <v>164.6</v>
      </c>
      <c r="E129" s="64">
        <f t="shared" si="4"/>
        <v>-7.1335241380028336E-3</v>
      </c>
      <c r="F129" s="49">
        <v>9.2100000000000009</v>
      </c>
      <c r="G129" s="65">
        <f t="shared" si="5"/>
        <v>-1.8630675863130275E-2</v>
      </c>
    </row>
    <row r="130" spans="1:7" ht="16">
      <c r="A130" s="44">
        <v>44505</v>
      </c>
      <c r="B130" s="49">
        <v>17242.36</v>
      </c>
      <c r="C130" s="50">
        <f t="shared" si="3"/>
        <v>3.9446846742894337E-3</v>
      </c>
      <c r="D130" s="49">
        <v>163.43</v>
      </c>
      <c r="E130" s="64">
        <f t="shared" si="4"/>
        <v>-3.4324275194972387E-3</v>
      </c>
      <c r="F130" s="49">
        <v>9.0399999999999991</v>
      </c>
      <c r="G130" s="65">
        <f t="shared" si="5"/>
        <v>1.8630675863130275E-2</v>
      </c>
    </row>
    <row r="131" spans="1:7" ht="16">
      <c r="A131" s="44">
        <v>44508</v>
      </c>
      <c r="B131" s="49">
        <v>17310.509999999998</v>
      </c>
      <c r="C131" s="50">
        <f t="shared" si="3"/>
        <v>-1.3642637896342791E-3</v>
      </c>
      <c r="D131" s="49">
        <v>162.87</v>
      </c>
      <c r="E131" s="64">
        <f t="shared" si="4"/>
        <v>-2.2127982475517172E-3</v>
      </c>
      <c r="F131" s="49">
        <v>9.2100000000000009</v>
      </c>
      <c r="G131" s="65">
        <f t="shared" si="5"/>
        <v>-2.9754261081792688E-2</v>
      </c>
    </row>
    <row r="132" spans="1:7" ht="16">
      <c r="A132" s="44">
        <v>44509</v>
      </c>
      <c r="B132" s="49">
        <v>17286.91</v>
      </c>
      <c r="C132" s="50">
        <f t="shared" si="3"/>
        <v>-5.5036633664062862E-3</v>
      </c>
      <c r="D132" s="49">
        <v>162.51</v>
      </c>
      <c r="E132" s="64">
        <f t="shared" si="4"/>
        <v>1.0771877215191239E-2</v>
      </c>
      <c r="F132" s="49">
        <v>8.94</v>
      </c>
      <c r="G132" s="65">
        <f t="shared" si="5"/>
        <v>-4.4843124473286089E-3</v>
      </c>
    </row>
    <row r="133" spans="1:7" ht="16">
      <c r="A133" s="44">
        <v>44510</v>
      </c>
      <c r="B133" s="49">
        <v>17192.03</v>
      </c>
      <c r="C133" s="50">
        <f t="shared" ref="C133:C196" si="6">LN(B134)-LN(B133)</f>
        <v>1.6494039035919172E-3</v>
      </c>
      <c r="D133" s="49">
        <v>164.27</v>
      </c>
      <c r="E133" s="64">
        <f t="shared" ref="E133:E196" si="7">LN(D134)-LN(D133)</f>
        <v>-7.3931843183441259E-3</v>
      </c>
      <c r="F133" s="49">
        <v>8.9</v>
      </c>
      <c r="G133" s="65">
        <f t="shared" ref="G133:G196" si="8">LN(F134)-LN(F133)</f>
        <v>9.7350996839177473E-2</v>
      </c>
    </row>
    <row r="134" spans="1:7" ht="16">
      <c r="A134" s="44">
        <v>44511</v>
      </c>
      <c r="B134" s="49">
        <v>17220.41</v>
      </c>
      <c r="C134" s="50">
        <f t="shared" si="6"/>
        <v>4.4759239996992051E-3</v>
      </c>
      <c r="D134" s="49">
        <v>163.06</v>
      </c>
      <c r="E134" s="64">
        <f t="shared" si="7"/>
        <v>1.1887846889949039E-2</v>
      </c>
      <c r="F134" s="49">
        <v>9.81</v>
      </c>
      <c r="G134" s="65">
        <f t="shared" si="8"/>
        <v>2.9133150269942121E-2</v>
      </c>
    </row>
    <row r="135" spans="1:7" ht="16">
      <c r="A135" s="44">
        <v>44512</v>
      </c>
      <c r="B135" s="49">
        <v>17297.66</v>
      </c>
      <c r="C135" s="50">
        <f t="shared" si="6"/>
        <v>-7.0033987561934907E-4</v>
      </c>
      <c r="D135" s="49">
        <v>165.01</v>
      </c>
      <c r="E135" s="64">
        <f t="shared" si="7"/>
        <v>-9.0707711093740429E-3</v>
      </c>
      <c r="F135" s="49">
        <v>10.1</v>
      </c>
      <c r="G135" s="65">
        <f t="shared" si="8"/>
        <v>-5.8090706181102902E-2</v>
      </c>
    </row>
    <row r="136" spans="1:7" ht="16">
      <c r="A136" s="44">
        <v>44515</v>
      </c>
      <c r="B136" s="49">
        <v>17285.55</v>
      </c>
      <c r="C136" s="50">
        <f t="shared" si="6"/>
        <v>9.9686781312335881E-4</v>
      </c>
      <c r="D136" s="49">
        <v>163.52000000000001</v>
      </c>
      <c r="E136" s="64">
        <f t="shared" si="7"/>
        <v>-5.2116982369776466E-3</v>
      </c>
      <c r="F136" s="49">
        <v>9.5299999999999994</v>
      </c>
      <c r="G136" s="65">
        <f t="shared" si="8"/>
        <v>4.3127833504390534E-2</v>
      </c>
    </row>
    <row r="137" spans="1:7" ht="16">
      <c r="A137" s="44">
        <v>44516</v>
      </c>
      <c r="B137" s="49">
        <v>17302.79</v>
      </c>
      <c r="C137" s="50">
        <f t="shared" si="6"/>
        <v>-6.3852116250089352E-3</v>
      </c>
      <c r="D137" s="49">
        <v>162.66999999999999</v>
      </c>
      <c r="E137" s="64">
        <f t="shared" si="7"/>
        <v>3.7429097232273278E-3</v>
      </c>
      <c r="F137" s="49">
        <v>9.9499999999999993</v>
      </c>
      <c r="G137" s="65">
        <f t="shared" si="8"/>
        <v>-0.1160257865535117</v>
      </c>
    </row>
    <row r="138" spans="1:7" ht="16">
      <c r="A138" s="44">
        <v>44517</v>
      </c>
      <c r="B138" s="49">
        <v>17192.66</v>
      </c>
      <c r="C138" s="50">
        <f t="shared" si="6"/>
        <v>-4.3671958983448889E-3</v>
      </c>
      <c r="D138" s="49">
        <v>163.28</v>
      </c>
      <c r="E138" s="64">
        <f t="shared" si="7"/>
        <v>-5.4040907740118271E-3</v>
      </c>
      <c r="F138" s="49">
        <v>8.86</v>
      </c>
      <c r="G138" s="65">
        <f t="shared" si="8"/>
        <v>-2.1677973824539176E-2</v>
      </c>
    </row>
    <row r="139" spans="1:7" ht="16">
      <c r="A139" s="44">
        <v>44518</v>
      </c>
      <c r="B139" s="49">
        <v>17117.740000000002</v>
      </c>
      <c r="C139" s="50">
        <f t="shared" si="6"/>
        <v>-8.4349476543987834E-3</v>
      </c>
      <c r="D139" s="49">
        <v>162.4</v>
      </c>
      <c r="E139" s="64">
        <f t="shared" si="7"/>
        <v>3.0126986419363178E-3</v>
      </c>
      <c r="F139" s="49">
        <v>8.67</v>
      </c>
      <c r="G139" s="65">
        <f t="shared" si="8"/>
        <v>-2.5702349423368354E-2</v>
      </c>
    </row>
    <row r="140" spans="1:7" ht="16">
      <c r="A140" s="44">
        <v>44519</v>
      </c>
      <c r="B140" s="49">
        <v>16973.96</v>
      </c>
      <c r="C140" s="50">
        <f t="shared" si="6"/>
        <v>-1.6615697221329384E-3</v>
      </c>
      <c r="D140" s="49">
        <v>162.88999999999999</v>
      </c>
      <c r="E140" s="64">
        <f t="shared" si="7"/>
        <v>-1.9778071148547127E-2</v>
      </c>
      <c r="F140" s="49">
        <v>8.4499999999999993</v>
      </c>
      <c r="G140" s="65">
        <f t="shared" si="8"/>
        <v>-4.1068573241760831E-2</v>
      </c>
    </row>
    <row r="141" spans="1:7" ht="16">
      <c r="A141" s="44">
        <v>44522</v>
      </c>
      <c r="B141" s="49">
        <v>16945.78</v>
      </c>
      <c r="C141" s="50">
        <f t="shared" si="6"/>
        <v>3.6591067189597482E-3</v>
      </c>
      <c r="D141" s="49">
        <v>159.69999999999999</v>
      </c>
      <c r="E141" s="64">
        <f t="shared" si="7"/>
        <v>6.179987832695133E-3</v>
      </c>
      <c r="F141" s="49">
        <v>8.11</v>
      </c>
      <c r="G141" s="65">
        <f t="shared" si="8"/>
        <v>-1.8668868271029648E-2</v>
      </c>
    </row>
    <row r="142" spans="1:7" ht="16">
      <c r="A142" s="44">
        <v>44523</v>
      </c>
      <c r="B142" s="49">
        <v>17007.900000000001</v>
      </c>
      <c r="C142" s="50">
        <f t="shared" si="6"/>
        <v>1.6983553068321555E-3</v>
      </c>
      <c r="D142" s="49">
        <v>160.69</v>
      </c>
      <c r="E142" s="64">
        <f t="shared" si="7"/>
        <v>-2.804351696099161E-3</v>
      </c>
      <c r="F142" s="49">
        <v>7.96</v>
      </c>
      <c r="G142" s="65">
        <f t="shared" si="8"/>
        <v>7.5004913643579307E-2</v>
      </c>
    </row>
    <row r="143" spans="1:7" ht="16">
      <c r="A143" s="44">
        <v>44524</v>
      </c>
      <c r="B143" s="49">
        <v>17036.810000000001</v>
      </c>
      <c r="C143" s="50">
        <f t="shared" si="6"/>
        <v>-2.4476530340589164E-2</v>
      </c>
      <c r="D143" s="49">
        <v>160.24</v>
      </c>
      <c r="E143" s="64">
        <f t="shared" si="7"/>
        <v>-6.5114179472800515E-3</v>
      </c>
      <c r="F143" s="49">
        <v>8.58</v>
      </c>
      <c r="G143" s="65">
        <f t="shared" si="8"/>
        <v>-2.2393393020756047E-2</v>
      </c>
    </row>
    <row r="144" spans="1:7" ht="16">
      <c r="A144" s="44">
        <v>44526</v>
      </c>
      <c r="B144" s="49">
        <v>16624.87</v>
      </c>
      <c r="C144" s="50">
        <f t="shared" si="6"/>
        <v>3.5492106182104521E-3</v>
      </c>
      <c r="D144" s="49">
        <v>159.19999999999999</v>
      </c>
      <c r="E144" s="64">
        <f t="shared" si="7"/>
        <v>3.4488198473612286E-3</v>
      </c>
      <c r="F144" s="49">
        <v>8.39</v>
      </c>
      <c r="G144" s="65">
        <f t="shared" si="8"/>
        <v>1.6548841024472516E-2</v>
      </c>
    </row>
    <row r="145" spans="1:7" ht="16">
      <c r="A145" s="44">
        <v>44529</v>
      </c>
      <c r="B145" s="49">
        <v>16683.98</v>
      </c>
      <c r="C145" s="50">
        <f t="shared" si="6"/>
        <v>-2.2120742781513769E-2</v>
      </c>
      <c r="D145" s="49">
        <v>159.75</v>
      </c>
      <c r="E145" s="64">
        <f t="shared" si="7"/>
        <v>-2.4202904660850066E-2</v>
      </c>
      <c r="F145" s="49">
        <v>8.5299999999999994</v>
      </c>
      <c r="G145" s="65">
        <f t="shared" si="8"/>
        <v>1.1716462968909269E-3</v>
      </c>
    </row>
    <row r="146" spans="1:7" ht="16">
      <c r="A146" s="44">
        <v>44530</v>
      </c>
      <c r="B146" s="49">
        <v>16318.97</v>
      </c>
      <c r="C146" s="50">
        <f t="shared" si="6"/>
        <v>-1.1406206207714931E-2</v>
      </c>
      <c r="D146" s="49">
        <v>155.93</v>
      </c>
      <c r="E146" s="64">
        <f t="shared" si="7"/>
        <v>1.369404540276431E-2</v>
      </c>
      <c r="F146" s="49">
        <v>8.5399999999999991</v>
      </c>
      <c r="G146" s="65">
        <f t="shared" si="8"/>
        <v>-5.2896946122085176E-2</v>
      </c>
    </row>
    <row r="147" spans="1:7" ht="16">
      <c r="A147" s="44">
        <v>44531</v>
      </c>
      <c r="B147" s="49">
        <v>16133.89</v>
      </c>
      <c r="C147" s="50">
        <f t="shared" si="6"/>
        <v>2.093722618881344E-2</v>
      </c>
      <c r="D147" s="49">
        <v>158.08000000000001</v>
      </c>
      <c r="E147" s="64">
        <f t="shared" si="7"/>
        <v>-6.2823444877100343E-3</v>
      </c>
      <c r="F147" s="49">
        <v>8.1</v>
      </c>
      <c r="G147" s="65">
        <f t="shared" si="8"/>
        <v>7.3801072976222848E-3</v>
      </c>
    </row>
    <row r="148" spans="1:7" ht="16">
      <c r="A148" s="44">
        <v>44532</v>
      </c>
      <c r="B148" s="49">
        <v>16475.25</v>
      </c>
      <c r="C148" s="50">
        <f t="shared" si="6"/>
        <v>-7.7616411529177753E-3</v>
      </c>
      <c r="D148" s="49">
        <v>157.09</v>
      </c>
      <c r="E148" s="64">
        <f t="shared" si="7"/>
        <v>1.4472398457754387E-2</v>
      </c>
      <c r="F148" s="49">
        <v>8.16</v>
      </c>
      <c r="G148" s="65">
        <f t="shared" si="8"/>
        <v>-4.5120435280469273E-2</v>
      </c>
    </row>
    <row r="149" spans="1:7" ht="16">
      <c r="A149" s="44">
        <v>44533</v>
      </c>
      <c r="B149" s="49">
        <v>16347.87</v>
      </c>
      <c r="C149" s="50">
        <f t="shared" si="6"/>
        <v>1.4821229757897569E-2</v>
      </c>
      <c r="D149" s="49">
        <v>159.38</v>
      </c>
      <c r="E149" s="64">
        <f t="shared" si="7"/>
        <v>2.20907469128937E-2</v>
      </c>
      <c r="F149" s="49">
        <v>7.8</v>
      </c>
      <c r="G149" s="65">
        <f t="shared" si="8"/>
        <v>3.0305349495328482E-2</v>
      </c>
    </row>
    <row r="150" spans="1:7" ht="16">
      <c r="A150" s="44">
        <v>44536</v>
      </c>
      <c r="B150" s="49">
        <v>16591.97</v>
      </c>
      <c r="C150" s="50">
        <f t="shared" si="6"/>
        <v>1.564366040816445E-2</v>
      </c>
      <c r="D150" s="49">
        <v>162.94</v>
      </c>
      <c r="E150" s="64">
        <f t="shared" si="7"/>
        <v>2.5743195338590041E-3</v>
      </c>
      <c r="F150" s="49">
        <v>8.0399999999999991</v>
      </c>
      <c r="G150" s="65">
        <f t="shared" si="8"/>
        <v>4.3802622658393187E-2</v>
      </c>
    </row>
    <row r="151" spans="1:7" ht="16">
      <c r="A151" s="44">
        <v>44537</v>
      </c>
      <c r="B151" s="49">
        <v>16853.57</v>
      </c>
      <c r="C151" s="50">
        <f t="shared" si="6"/>
        <v>2.7463843966000212E-3</v>
      </c>
      <c r="D151" s="49">
        <v>163.36000000000001</v>
      </c>
      <c r="E151" s="64">
        <f t="shared" si="7"/>
        <v>5.9810980866865648E-3</v>
      </c>
      <c r="F151" s="49">
        <v>8.4</v>
      </c>
      <c r="G151" s="65">
        <f t="shared" si="8"/>
        <v>9.4787439545438446E-3</v>
      </c>
    </row>
    <row r="152" spans="1:7" ht="16">
      <c r="A152" s="44">
        <v>44538</v>
      </c>
      <c r="B152" s="49">
        <v>16899.919999999998</v>
      </c>
      <c r="C152" s="50">
        <f t="shared" si="6"/>
        <v>-7.093178008050316E-3</v>
      </c>
      <c r="D152" s="49">
        <v>164.34</v>
      </c>
      <c r="E152" s="64">
        <f t="shared" si="7"/>
        <v>9.4477446933574072E-3</v>
      </c>
      <c r="F152" s="49">
        <v>8.48</v>
      </c>
      <c r="G152" s="65">
        <f t="shared" si="8"/>
        <v>-3.6018299189156E-2</v>
      </c>
    </row>
    <row r="153" spans="1:7" ht="16">
      <c r="A153" s="44">
        <v>44539</v>
      </c>
      <c r="B153" s="49">
        <v>16780.47</v>
      </c>
      <c r="C153" s="50">
        <f t="shared" si="6"/>
        <v>4.5283410367655819E-3</v>
      </c>
      <c r="D153" s="49">
        <v>165.9</v>
      </c>
      <c r="E153" s="64">
        <f t="shared" si="7"/>
        <v>-2.4744271655467998E-3</v>
      </c>
      <c r="F153" s="49">
        <v>8.18</v>
      </c>
      <c r="G153" s="65">
        <f t="shared" si="8"/>
        <v>-2.7263150758364052E-2</v>
      </c>
    </row>
    <row r="154" spans="1:7" ht="16">
      <c r="A154" s="44">
        <v>44540</v>
      </c>
      <c r="B154" s="49">
        <v>16856.63</v>
      </c>
      <c r="C154" s="50">
        <f t="shared" si="6"/>
        <v>-8.1641615962269043E-3</v>
      </c>
      <c r="D154" s="49">
        <v>165.49</v>
      </c>
      <c r="E154" s="64">
        <f t="shared" si="7"/>
        <v>1.7728199821709367E-2</v>
      </c>
      <c r="F154" s="49">
        <v>7.96</v>
      </c>
      <c r="G154" s="65">
        <f t="shared" si="8"/>
        <v>-1.3915468061974856E-2</v>
      </c>
    </row>
    <row r="155" spans="1:7" ht="16">
      <c r="A155" s="44">
        <v>44543</v>
      </c>
      <c r="B155" s="49">
        <v>16719.57</v>
      </c>
      <c r="C155" s="50">
        <f t="shared" si="6"/>
        <v>-4.0147302453714673E-3</v>
      </c>
      <c r="D155" s="49">
        <v>168.45</v>
      </c>
      <c r="E155" s="64">
        <f t="shared" si="7"/>
        <v>1.0863896185951738E-2</v>
      </c>
      <c r="F155" s="49">
        <v>7.85</v>
      </c>
      <c r="G155" s="65">
        <f t="shared" si="8"/>
        <v>-5.1085679427220754E-3</v>
      </c>
    </row>
    <row r="156" spans="1:7" ht="16">
      <c r="A156" s="44">
        <v>44544</v>
      </c>
      <c r="B156" s="49">
        <v>16652.580000000002</v>
      </c>
      <c r="C156" s="50">
        <f t="shared" si="6"/>
        <v>9.6211390824674226E-3</v>
      </c>
      <c r="D156" s="49">
        <v>170.29</v>
      </c>
      <c r="E156" s="64">
        <f t="shared" si="7"/>
        <v>4.9790689513953268E-3</v>
      </c>
      <c r="F156" s="49">
        <v>7.81</v>
      </c>
      <c r="G156" s="65">
        <f t="shared" si="8"/>
        <v>6.3816425895204532E-3</v>
      </c>
    </row>
    <row r="157" spans="1:7" ht="16">
      <c r="A157" s="44">
        <v>44545</v>
      </c>
      <c r="B157" s="49">
        <v>16813.57</v>
      </c>
      <c r="C157" s="50">
        <f t="shared" si="6"/>
        <v>2.110350945683237E-3</v>
      </c>
      <c r="D157" s="49">
        <v>171.14</v>
      </c>
      <c r="E157" s="64">
        <f t="shared" si="7"/>
        <v>1.0867461305521964E-2</v>
      </c>
      <c r="F157" s="49">
        <v>7.86</v>
      </c>
      <c r="G157" s="65">
        <f t="shared" si="8"/>
        <v>-4.555114066507171E-2</v>
      </c>
    </row>
    <row r="158" spans="1:7" ht="16">
      <c r="A158" s="44">
        <v>44546</v>
      </c>
      <c r="B158" s="49">
        <v>16849.09</v>
      </c>
      <c r="C158" s="50">
        <f t="shared" si="6"/>
        <v>-1.0767539653970815E-2</v>
      </c>
      <c r="D158" s="49">
        <v>173.01</v>
      </c>
      <c r="E158" s="64">
        <f t="shared" si="7"/>
        <v>-2.801730556436155E-2</v>
      </c>
      <c r="F158" s="49">
        <v>7.51</v>
      </c>
      <c r="G158" s="65">
        <f t="shared" si="8"/>
        <v>0</v>
      </c>
    </row>
    <row r="159" spans="1:7" ht="16">
      <c r="A159" s="44">
        <v>44547</v>
      </c>
      <c r="B159" s="49">
        <v>16668.64</v>
      </c>
      <c r="C159" s="50">
        <f t="shared" si="6"/>
        <v>-1.3671219045109595E-2</v>
      </c>
      <c r="D159" s="49">
        <v>168.23</v>
      </c>
      <c r="E159" s="64">
        <f t="shared" si="7"/>
        <v>-2.8573148792778724E-3</v>
      </c>
      <c r="F159" s="49">
        <v>7.51</v>
      </c>
      <c r="G159" s="65">
        <f t="shared" si="8"/>
        <v>-5.3404666313174864E-3</v>
      </c>
    </row>
    <row r="160" spans="1:7" ht="16">
      <c r="A160" s="44">
        <v>44550</v>
      </c>
      <c r="B160" s="49">
        <v>16442.310000000001</v>
      </c>
      <c r="C160" s="50">
        <f t="shared" si="6"/>
        <v>1.8198219486658118E-2</v>
      </c>
      <c r="D160" s="49">
        <v>167.75</v>
      </c>
      <c r="E160" s="64">
        <f t="shared" si="7"/>
        <v>-3.2242683772132352E-3</v>
      </c>
      <c r="F160" s="49">
        <v>7.47</v>
      </c>
      <c r="G160" s="65">
        <f t="shared" si="8"/>
        <v>7.1043422733696904E-2</v>
      </c>
    </row>
    <row r="161" spans="1:7" ht="16">
      <c r="A161" s="44">
        <v>44551</v>
      </c>
      <c r="B161" s="49">
        <v>16744.27</v>
      </c>
      <c r="C161" s="50">
        <f t="shared" si="6"/>
        <v>7.7700154293403045E-3</v>
      </c>
      <c r="D161" s="49">
        <v>167.21</v>
      </c>
      <c r="E161" s="64">
        <f t="shared" si="7"/>
        <v>4.2967184323385865E-3</v>
      </c>
      <c r="F161" s="49">
        <v>8.02</v>
      </c>
      <c r="G161" s="65">
        <f t="shared" si="8"/>
        <v>1.1159446248898419E-2</v>
      </c>
    </row>
    <row r="162" spans="1:7" ht="16">
      <c r="A162" s="44">
        <v>44552</v>
      </c>
      <c r="B162" s="49">
        <v>16874.88</v>
      </c>
      <c r="C162" s="50">
        <f t="shared" si="6"/>
        <v>5.2343143629762778E-3</v>
      </c>
      <c r="D162" s="49">
        <v>167.93</v>
      </c>
      <c r="E162" s="64">
        <f t="shared" si="7"/>
        <v>1.9037426179204786E-3</v>
      </c>
      <c r="F162" s="49">
        <v>8.11</v>
      </c>
      <c r="G162" s="65">
        <f t="shared" si="8"/>
        <v>-4.9443858454640832E-3</v>
      </c>
    </row>
    <row r="163" spans="1:7" ht="16">
      <c r="A163" s="44">
        <v>44553</v>
      </c>
      <c r="B163" s="49">
        <v>16963.439999999999</v>
      </c>
      <c r="C163" s="50">
        <f t="shared" si="6"/>
        <v>1.041806509477361E-2</v>
      </c>
      <c r="D163" s="49">
        <v>168.25</v>
      </c>
      <c r="E163" s="64">
        <f t="shared" si="7"/>
        <v>8.4044055300109832E-3</v>
      </c>
      <c r="F163" s="49">
        <v>8.07</v>
      </c>
      <c r="G163" s="65">
        <f t="shared" si="8"/>
        <v>6.176671891729324E-3</v>
      </c>
    </row>
    <row r="164" spans="1:7" ht="16">
      <c r="A164" s="44">
        <v>44557</v>
      </c>
      <c r="B164" s="49">
        <v>17141.09</v>
      </c>
      <c r="C164" s="50">
        <f t="shared" si="6"/>
        <v>-4.0437342364718631E-4</v>
      </c>
      <c r="D164" s="49">
        <v>169.67</v>
      </c>
      <c r="E164" s="64">
        <f t="shared" si="7"/>
        <v>3.9997700521272606E-3</v>
      </c>
      <c r="F164" s="49">
        <v>8.1199999999999992</v>
      </c>
      <c r="G164" s="65">
        <f t="shared" si="8"/>
        <v>-3.2543547732471367E-2</v>
      </c>
    </row>
    <row r="165" spans="1:7" ht="16">
      <c r="A165" s="44">
        <v>44558</v>
      </c>
      <c r="B165" s="49">
        <v>17134.16</v>
      </c>
      <c r="C165" s="50">
        <f t="shared" si="6"/>
        <v>9.1996031466479167E-4</v>
      </c>
      <c r="D165" s="49">
        <v>170.35</v>
      </c>
      <c r="E165" s="64">
        <f t="shared" si="7"/>
        <v>7.0196251974836699E-3</v>
      </c>
      <c r="F165" s="49">
        <v>7.86</v>
      </c>
      <c r="G165" s="65">
        <f t="shared" si="8"/>
        <v>-1.6677743841784665E-2</v>
      </c>
    </row>
    <row r="166" spans="1:7" ht="16">
      <c r="A166" s="44">
        <v>44559</v>
      </c>
      <c r="B166" s="49">
        <v>17149.93</v>
      </c>
      <c r="C166" s="50">
        <f t="shared" si="6"/>
        <v>8.3405781515821786E-4</v>
      </c>
      <c r="D166" s="49">
        <v>171.55</v>
      </c>
      <c r="E166" s="64">
        <f t="shared" si="7"/>
        <v>4.4204108505487838E-3</v>
      </c>
      <c r="F166" s="49">
        <v>7.73</v>
      </c>
      <c r="G166" s="65">
        <f t="shared" si="8"/>
        <v>3.4332679080505191E-2</v>
      </c>
    </row>
    <row r="167" spans="1:7" ht="16">
      <c r="A167" s="44">
        <v>44560</v>
      </c>
      <c r="B167" s="49">
        <v>17164.240000000002</v>
      </c>
      <c r="C167" s="50">
        <f t="shared" si="6"/>
        <v>-6.4086934514762106E-6</v>
      </c>
      <c r="D167" s="49">
        <v>172.31</v>
      </c>
      <c r="E167" s="64">
        <f t="shared" si="7"/>
        <v>-7.2223506908075663E-3</v>
      </c>
      <c r="F167" s="49">
        <v>8</v>
      </c>
      <c r="G167" s="65">
        <f t="shared" si="8"/>
        <v>1.1187189390564622E-2</v>
      </c>
    </row>
    <row r="168" spans="1:7" ht="16">
      <c r="A168" s="44">
        <v>44561</v>
      </c>
      <c r="B168" s="49">
        <v>17164.13</v>
      </c>
      <c r="C168" s="50">
        <f t="shared" si="6"/>
        <v>3.6039344356790792E-3</v>
      </c>
      <c r="D168" s="49">
        <v>171.07</v>
      </c>
      <c r="E168" s="64">
        <f t="shared" si="7"/>
        <v>2.7436460980752031E-3</v>
      </c>
      <c r="F168" s="49">
        <v>8.09</v>
      </c>
      <c r="G168" s="65">
        <f t="shared" si="8"/>
        <v>1.8371612850979879E-2</v>
      </c>
    </row>
    <row r="169" spans="1:7" ht="16">
      <c r="A169" s="44">
        <v>44564</v>
      </c>
      <c r="B169" s="49">
        <v>17226.099999999999</v>
      </c>
      <c r="C169" s="50">
        <f t="shared" si="6"/>
        <v>6.4034271541100196E-3</v>
      </c>
      <c r="D169" s="49">
        <v>171.54</v>
      </c>
      <c r="E169" s="64">
        <f t="shared" si="7"/>
        <v>-2.6851922035673326E-3</v>
      </c>
      <c r="F169" s="49">
        <v>8.24</v>
      </c>
      <c r="G169" s="65">
        <f t="shared" si="8"/>
        <v>-5.6159484038723395E-2</v>
      </c>
    </row>
    <row r="170" spans="1:7" ht="16">
      <c r="A170" s="44">
        <v>44565</v>
      </c>
      <c r="B170" s="49">
        <v>17336.759999999998</v>
      </c>
      <c r="C170" s="50">
        <f t="shared" si="6"/>
        <v>-1.301406840344832E-2</v>
      </c>
      <c r="D170" s="49">
        <v>171.08</v>
      </c>
      <c r="E170" s="64">
        <f t="shared" si="7"/>
        <v>6.641445909311372E-3</v>
      </c>
      <c r="F170" s="49">
        <v>7.79</v>
      </c>
      <c r="G170" s="65">
        <f t="shared" si="8"/>
        <v>-5.1360859672532566E-2</v>
      </c>
    </row>
    <row r="171" spans="1:7" ht="16">
      <c r="A171" s="44">
        <v>44566</v>
      </c>
      <c r="B171" s="49">
        <v>17112.599999999999</v>
      </c>
      <c r="C171" s="50">
        <f t="shared" si="6"/>
        <v>2.563242011872191E-3</v>
      </c>
      <c r="D171" s="49">
        <v>172.22</v>
      </c>
      <c r="E171" s="64">
        <f t="shared" si="7"/>
        <v>-3.4317323194725802E-3</v>
      </c>
      <c r="F171" s="49">
        <v>7.4</v>
      </c>
      <c r="G171" s="65">
        <f t="shared" si="8"/>
        <v>-2.4625047305389502E-2</v>
      </c>
    </row>
    <row r="172" spans="1:7" ht="16">
      <c r="A172" s="44">
        <v>44567</v>
      </c>
      <c r="B172" s="49">
        <v>17156.52</v>
      </c>
      <c r="C172" s="50">
        <f t="shared" si="6"/>
        <v>5.6871818517656436E-4</v>
      </c>
      <c r="D172" s="49">
        <v>171.63</v>
      </c>
      <c r="E172" s="64">
        <f t="shared" si="7"/>
        <v>1.3426904649404214E-2</v>
      </c>
      <c r="F172" s="49">
        <v>7.22</v>
      </c>
      <c r="G172" s="65">
        <f t="shared" si="8"/>
        <v>-1.6760168857465008E-2</v>
      </c>
    </row>
    <row r="173" spans="1:7" ht="16">
      <c r="A173" s="44">
        <v>44568</v>
      </c>
      <c r="B173" s="49">
        <v>17166.28</v>
      </c>
      <c r="C173" s="50">
        <f t="shared" si="6"/>
        <v>-2.7253250273204799E-3</v>
      </c>
      <c r="D173" s="49">
        <v>173.95</v>
      </c>
      <c r="E173" s="64">
        <f t="shared" si="7"/>
        <v>-4.9562111596435088E-3</v>
      </c>
      <c r="F173" s="49">
        <v>7.1</v>
      </c>
      <c r="G173" s="65">
        <f t="shared" si="8"/>
        <v>-9.9080782246963039E-3</v>
      </c>
    </row>
    <row r="174" spans="1:7" ht="16">
      <c r="A174" s="44">
        <v>44571</v>
      </c>
      <c r="B174" s="49">
        <v>17119.560000000001</v>
      </c>
      <c r="C174" s="50">
        <f t="shared" si="6"/>
        <v>1.0169175304225675E-2</v>
      </c>
      <c r="D174" s="49">
        <v>173.09</v>
      </c>
      <c r="E174" s="64">
        <f t="shared" si="7"/>
        <v>-1.0687213295972775E-2</v>
      </c>
      <c r="F174" s="49">
        <v>7.03</v>
      </c>
      <c r="G174" s="65">
        <f t="shared" si="8"/>
        <v>5.8027326568894866E-2</v>
      </c>
    </row>
    <row r="175" spans="1:7" ht="16">
      <c r="A175" s="44">
        <v>44572</v>
      </c>
      <c r="B175" s="49">
        <v>17294.54</v>
      </c>
      <c r="C175" s="50">
        <f t="shared" si="6"/>
        <v>3.4183528580697953E-3</v>
      </c>
      <c r="D175" s="49">
        <v>171.25</v>
      </c>
      <c r="E175" s="64">
        <f t="shared" si="7"/>
        <v>-8.5620978144147486E-3</v>
      </c>
      <c r="F175" s="49">
        <v>7.45</v>
      </c>
      <c r="G175" s="65">
        <f t="shared" si="8"/>
        <v>-4.3902797965263751E-2</v>
      </c>
    </row>
    <row r="176" spans="1:7" ht="16">
      <c r="A176" s="44">
        <v>44573</v>
      </c>
      <c r="B176" s="49">
        <v>17353.759999999998</v>
      </c>
      <c r="C176" s="50">
        <f t="shared" si="6"/>
        <v>-5.4742922467507782E-3</v>
      </c>
      <c r="D176" s="49">
        <v>169.79</v>
      </c>
      <c r="E176" s="64">
        <f t="shared" si="7"/>
        <v>-6.0847920717819193E-3</v>
      </c>
      <c r="F176" s="49">
        <v>7.13</v>
      </c>
      <c r="G176" s="65">
        <f t="shared" si="8"/>
        <v>-4.2986560843505828E-2</v>
      </c>
    </row>
    <row r="177" spans="1:7" ht="16">
      <c r="A177" s="44">
        <v>44574</v>
      </c>
      <c r="B177" s="49">
        <v>17259.02</v>
      </c>
      <c r="C177" s="50">
        <f t="shared" si="6"/>
        <v>-2.3179955433967336E-3</v>
      </c>
      <c r="D177" s="49">
        <v>168.76</v>
      </c>
      <c r="E177" s="64">
        <f t="shared" si="7"/>
        <v>-5.4664426081512119E-3</v>
      </c>
      <c r="F177" s="49">
        <v>6.83</v>
      </c>
      <c r="G177" s="65">
        <f t="shared" si="8"/>
        <v>0</v>
      </c>
    </row>
    <row r="178" spans="1:7" ht="16">
      <c r="A178" s="44">
        <v>44575</v>
      </c>
      <c r="B178" s="49">
        <v>17219.060000000001</v>
      </c>
      <c r="C178" s="50">
        <f t="shared" si="6"/>
        <v>-1.5695390119908836E-2</v>
      </c>
      <c r="D178" s="49">
        <v>167.84</v>
      </c>
      <c r="E178" s="64">
        <f t="shared" si="7"/>
        <v>-4.418709046638547E-3</v>
      </c>
      <c r="F178" s="49">
        <v>6.83</v>
      </c>
      <c r="G178" s="65">
        <f t="shared" si="8"/>
        <v>-5.5695355788188294E-2</v>
      </c>
    </row>
    <row r="179" spans="1:7" ht="16">
      <c r="A179" s="44">
        <v>44579</v>
      </c>
      <c r="B179" s="49">
        <v>16950.91</v>
      </c>
      <c r="C179" s="50">
        <f t="shared" si="6"/>
        <v>-7.8135090877307078E-3</v>
      </c>
      <c r="D179" s="49">
        <v>167.1</v>
      </c>
      <c r="E179" s="64">
        <f t="shared" si="7"/>
        <v>-3.1167610941542634E-3</v>
      </c>
      <c r="F179" s="49">
        <v>6.46</v>
      </c>
      <c r="G179" s="65">
        <f t="shared" si="8"/>
        <v>7.710138425967461E-3</v>
      </c>
    </row>
    <row r="180" spans="1:7" ht="16">
      <c r="A180" s="44">
        <v>44580</v>
      </c>
      <c r="B180" s="49">
        <v>16818.98</v>
      </c>
      <c r="C180" s="50">
        <f t="shared" si="6"/>
        <v>-9.2711089581829498E-3</v>
      </c>
      <c r="D180" s="49">
        <v>166.58</v>
      </c>
      <c r="E180" s="64">
        <f t="shared" si="7"/>
        <v>-8.0161957753981383E-3</v>
      </c>
      <c r="F180" s="49">
        <v>6.51</v>
      </c>
      <c r="G180" s="65">
        <f t="shared" si="8"/>
        <v>-2.9620248061711818E-2</v>
      </c>
    </row>
    <row r="181" spans="1:7" ht="16">
      <c r="A181" s="44">
        <v>44581</v>
      </c>
      <c r="B181" s="49">
        <v>16663.77</v>
      </c>
      <c r="C181" s="50">
        <f t="shared" si="6"/>
        <v>-1.6117775101916365E-2</v>
      </c>
      <c r="D181" s="49">
        <v>165.25</v>
      </c>
      <c r="E181" s="64">
        <f t="shared" si="7"/>
        <v>-2.3021941587089145E-3</v>
      </c>
      <c r="F181" s="49">
        <v>6.32</v>
      </c>
      <c r="G181" s="65">
        <f t="shared" si="8"/>
        <v>-6.0327988601227789E-2</v>
      </c>
    </row>
    <row r="182" spans="1:7" ht="16">
      <c r="A182" s="44">
        <v>44582</v>
      </c>
      <c r="B182" s="49">
        <v>16397.34</v>
      </c>
      <c r="C182" s="50">
        <f t="shared" si="6"/>
        <v>1.0136749446445492E-3</v>
      </c>
      <c r="D182" s="49">
        <v>164.87</v>
      </c>
      <c r="E182" s="64">
        <f t="shared" si="7"/>
        <v>-1.1591149785189714E-2</v>
      </c>
      <c r="F182" s="49">
        <v>5.95</v>
      </c>
      <c r="G182" s="65">
        <f t="shared" si="8"/>
        <v>1.666705248521172E-2</v>
      </c>
    </row>
    <row r="183" spans="1:7" ht="16">
      <c r="A183" s="44">
        <v>44585</v>
      </c>
      <c r="B183" s="49">
        <v>16413.97</v>
      </c>
      <c r="C183" s="50">
        <f t="shared" si="6"/>
        <v>-4.4971284143695556E-3</v>
      </c>
      <c r="D183" s="49">
        <v>162.97</v>
      </c>
      <c r="E183" s="64">
        <f t="shared" si="7"/>
        <v>2.8193034855289234E-2</v>
      </c>
      <c r="F183" s="49">
        <v>6.05</v>
      </c>
      <c r="G183" s="65">
        <f t="shared" si="8"/>
        <v>1.3136477905369981E-2</v>
      </c>
    </row>
    <row r="184" spans="1:7" ht="16">
      <c r="A184" s="44">
        <v>44586</v>
      </c>
      <c r="B184" s="49">
        <v>16340.32</v>
      </c>
      <c r="C184" s="50">
        <f t="shared" si="6"/>
        <v>-6.3732629223576254E-3</v>
      </c>
      <c r="D184" s="49">
        <v>167.63</v>
      </c>
      <c r="E184" s="64">
        <f t="shared" si="7"/>
        <v>4.4641602663313407E-3</v>
      </c>
      <c r="F184" s="49">
        <v>6.13</v>
      </c>
      <c r="G184" s="65">
        <f t="shared" si="8"/>
        <v>1.6299922109310749E-3</v>
      </c>
    </row>
    <row r="185" spans="1:7" ht="16">
      <c r="A185" s="44">
        <v>44587</v>
      </c>
      <c r="B185" s="49">
        <v>16236.51</v>
      </c>
      <c r="C185" s="50">
        <f t="shared" si="6"/>
        <v>-5.2110997576235718E-3</v>
      </c>
      <c r="D185" s="49">
        <v>168.38</v>
      </c>
      <c r="E185" s="64">
        <f t="shared" si="7"/>
        <v>1.3039686782910564E-2</v>
      </c>
      <c r="F185" s="49">
        <v>6.14</v>
      </c>
      <c r="G185" s="65">
        <f t="shared" si="8"/>
        <v>-5.1807741796650042E-2</v>
      </c>
    </row>
    <row r="186" spans="1:7" ht="16">
      <c r="A186" s="44">
        <v>44588</v>
      </c>
      <c r="B186" s="49">
        <v>16152.12</v>
      </c>
      <c r="C186" s="50">
        <f t="shared" si="6"/>
        <v>1.5099528107556992E-2</v>
      </c>
      <c r="D186" s="49">
        <v>170.59</v>
      </c>
      <c r="E186" s="64">
        <f t="shared" si="7"/>
        <v>7.0097839459259959E-3</v>
      </c>
      <c r="F186" s="49">
        <v>5.83</v>
      </c>
      <c r="G186" s="65">
        <f t="shared" si="8"/>
        <v>1.8692133012152556E-2</v>
      </c>
    </row>
    <row r="187" spans="1:7" ht="16">
      <c r="A187" s="44">
        <v>44589</v>
      </c>
      <c r="B187" s="49">
        <v>16397.86</v>
      </c>
      <c r="C187" s="50">
        <f t="shared" si="6"/>
        <v>1.5845992610190152E-2</v>
      </c>
      <c r="D187" s="49">
        <v>171.79</v>
      </c>
      <c r="E187" s="64">
        <f t="shared" si="7"/>
        <v>2.9063029059601675E-3</v>
      </c>
      <c r="F187" s="49">
        <v>5.94</v>
      </c>
      <c r="G187" s="65">
        <f t="shared" si="8"/>
        <v>8.8553397341444962E-2</v>
      </c>
    </row>
    <row r="188" spans="1:7" ht="16">
      <c r="A188" s="44">
        <v>44592</v>
      </c>
      <c r="B188" s="49">
        <v>16659.77</v>
      </c>
      <c r="C188" s="50">
        <f t="shared" si="6"/>
        <v>1.0149539985313538E-2</v>
      </c>
      <c r="D188" s="49">
        <v>172.29</v>
      </c>
      <c r="E188" s="64">
        <f t="shared" si="7"/>
        <v>-8.2175477724844015E-3</v>
      </c>
      <c r="F188" s="49">
        <v>6.49</v>
      </c>
      <c r="G188" s="65">
        <f t="shared" si="8"/>
        <v>4.3714571236305622E-2</v>
      </c>
    </row>
    <row r="189" spans="1:7" ht="16">
      <c r="A189" s="44">
        <v>44593</v>
      </c>
      <c r="B189" s="49">
        <v>16829.72</v>
      </c>
      <c r="C189" s="50">
        <f t="shared" si="6"/>
        <v>4.4346706839455408E-3</v>
      </c>
      <c r="D189" s="49">
        <v>170.88</v>
      </c>
      <c r="E189" s="64">
        <f t="shared" si="7"/>
        <v>1.0999674414860827E-2</v>
      </c>
      <c r="F189" s="49">
        <v>6.78</v>
      </c>
      <c r="G189" s="65">
        <f t="shared" si="8"/>
        <v>-2.2372297754533088E-2</v>
      </c>
    </row>
    <row r="190" spans="1:7" ht="16">
      <c r="A190" s="44">
        <v>44594</v>
      </c>
      <c r="B190" s="49">
        <v>16904.52</v>
      </c>
      <c r="C190" s="50">
        <f t="shared" si="6"/>
        <v>-1.3527131923455116E-2</v>
      </c>
      <c r="D190" s="49">
        <v>172.77</v>
      </c>
      <c r="E190" s="64">
        <f t="shared" si="7"/>
        <v>-5.7882094190553346E-5</v>
      </c>
      <c r="F190" s="49">
        <v>6.63</v>
      </c>
      <c r="G190" s="65">
        <f t="shared" si="8"/>
        <v>-7.8410054249651084E-2</v>
      </c>
    </row>
    <row r="191" spans="1:7" ht="16">
      <c r="A191" s="44">
        <v>44595</v>
      </c>
      <c r="B191" s="49">
        <v>16677.39</v>
      </c>
      <c r="C191" s="50">
        <f t="shared" si="6"/>
        <v>1.449415858839842E-3</v>
      </c>
      <c r="D191" s="49">
        <v>172.76</v>
      </c>
      <c r="E191" s="64">
        <f t="shared" si="7"/>
        <v>-6.5623511439536486E-3</v>
      </c>
      <c r="F191" s="49">
        <v>6.13</v>
      </c>
      <c r="G191" s="65">
        <f t="shared" si="8"/>
        <v>-3.4858301052205665E-2</v>
      </c>
    </row>
    <row r="192" spans="1:7" ht="16">
      <c r="A192" s="44">
        <v>44596</v>
      </c>
      <c r="B192" s="49">
        <v>16701.580000000002</v>
      </c>
      <c r="C192" s="50">
        <f t="shared" si="6"/>
        <v>1.2673400782095001E-3</v>
      </c>
      <c r="D192" s="49">
        <v>171.63</v>
      </c>
      <c r="E192" s="64">
        <f t="shared" si="7"/>
        <v>-3.3266247959113926E-3</v>
      </c>
      <c r="F192" s="49">
        <v>5.92</v>
      </c>
      <c r="G192" s="65">
        <f t="shared" si="8"/>
        <v>1.6877641137196253E-3</v>
      </c>
    </row>
    <row r="193" spans="1:7" ht="16">
      <c r="A193" s="44">
        <v>44599</v>
      </c>
      <c r="B193" s="49">
        <v>16722.759999999998</v>
      </c>
      <c r="C193" s="50">
        <f t="shared" si="6"/>
        <v>7.8001448002407159E-3</v>
      </c>
      <c r="D193" s="49">
        <v>171.06</v>
      </c>
      <c r="E193" s="64">
        <f t="shared" si="7"/>
        <v>2.6272017913537837E-3</v>
      </c>
      <c r="F193" s="49">
        <v>5.93</v>
      </c>
      <c r="G193" s="65">
        <f t="shared" si="8"/>
        <v>1.1735256218420975E-2</v>
      </c>
    </row>
    <row r="194" spans="1:7" ht="16">
      <c r="A194" s="44">
        <v>44600</v>
      </c>
      <c r="B194" s="49">
        <v>16853.71</v>
      </c>
      <c r="C194" s="50">
        <f t="shared" si="6"/>
        <v>1.2731808018930479E-2</v>
      </c>
      <c r="D194" s="49">
        <v>171.51</v>
      </c>
      <c r="E194" s="64">
        <f t="shared" si="7"/>
        <v>-1.1661807593377205E-4</v>
      </c>
      <c r="F194" s="49">
        <v>6</v>
      </c>
      <c r="G194" s="65">
        <f t="shared" si="8"/>
        <v>2.3065272930996139E-2</v>
      </c>
    </row>
    <row r="195" spans="1:7" ht="16">
      <c r="A195" s="44">
        <v>44601</v>
      </c>
      <c r="B195" s="49">
        <v>17069.66</v>
      </c>
      <c r="C195" s="50">
        <f t="shared" si="6"/>
        <v>-1.2598315166384211E-2</v>
      </c>
      <c r="D195" s="49">
        <v>171.49</v>
      </c>
      <c r="E195" s="64">
        <f t="shared" si="7"/>
        <v>-1.2144116864650556E-2</v>
      </c>
      <c r="F195" s="49">
        <v>6.14</v>
      </c>
      <c r="G195" s="65">
        <f t="shared" si="8"/>
        <v>-1.9737482838321441E-2</v>
      </c>
    </row>
    <row r="196" spans="1:7" ht="16">
      <c r="A196" s="44">
        <v>44602</v>
      </c>
      <c r="B196" s="49">
        <v>16855.96</v>
      </c>
      <c r="C196" s="50">
        <f t="shared" si="6"/>
        <v>-1.1394191757315042E-2</v>
      </c>
      <c r="D196" s="49">
        <v>169.42</v>
      </c>
      <c r="E196" s="64">
        <f t="shared" si="7"/>
        <v>-1.0144541659868445E-2</v>
      </c>
      <c r="F196" s="49">
        <v>6.02</v>
      </c>
      <c r="G196" s="65">
        <f t="shared" si="8"/>
        <v>-3.0356462480594093E-2</v>
      </c>
    </row>
    <row r="197" spans="1:7" ht="16">
      <c r="A197" s="44">
        <v>44603</v>
      </c>
      <c r="B197" s="49">
        <v>16664.990000000002</v>
      </c>
      <c r="C197" s="50">
        <f t="shared" ref="C197:C260" si="9">LN(B198)-LN(B197)</f>
        <v>-8.0539531579280066E-3</v>
      </c>
      <c r="D197" s="49">
        <v>167.71</v>
      </c>
      <c r="E197" s="64">
        <f t="shared" ref="E197:E260" si="10">LN(D198)-LN(D197)</f>
        <v>-1.2661055392377385E-2</v>
      </c>
      <c r="F197" s="49">
        <v>5.84</v>
      </c>
      <c r="G197" s="65">
        <f t="shared" ref="G197:G260" si="11">LN(F198)-LN(F197)</f>
        <v>-2.2511773172216643E-2</v>
      </c>
    </row>
    <row r="198" spans="1:7" ht="16">
      <c r="A198" s="44">
        <v>44606</v>
      </c>
      <c r="B198" s="49">
        <v>16531.310000000001</v>
      </c>
      <c r="C198" s="50">
        <f t="shared" si="9"/>
        <v>1.2893113511109888E-2</v>
      </c>
      <c r="D198" s="49">
        <v>165.6</v>
      </c>
      <c r="E198" s="64">
        <f t="shared" si="10"/>
        <v>1.0273137118413267E-2</v>
      </c>
      <c r="F198" s="49">
        <v>5.71</v>
      </c>
      <c r="G198" s="65">
        <f t="shared" si="11"/>
        <v>5.9490776413304136E-2</v>
      </c>
    </row>
    <row r="199" spans="1:7" ht="16">
      <c r="A199" s="44">
        <v>44607</v>
      </c>
      <c r="B199" s="49">
        <v>16745.830000000002</v>
      </c>
      <c r="C199" s="50">
        <f t="shared" si="9"/>
        <v>1.4637704571960342E-3</v>
      </c>
      <c r="D199" s="49">
        <v>167.31</v>
      </c>
      <c r="E199" s="64">
        <f t="shared" si="10"/>
        <v>-5.9787159499435916E-4</v>
      </c>
      <c r="F199" s="49">
        <v>6.06</v>
      </c>
      <c r="G199" s="65">
        <f t="shared" si="11"/>
        <v>-1.1618387953864939E-2</v>
      </c>
    </row>
    <row r="200" spans="1:7" ht="16">
      <c r="A200" s="44">
        <v>44608</v>
      </c>
      <c r="B200" s="49">
        <v>16770.36</v>
      </c>
      <c r="C200" s="50">
        <f t="shared" si="9"/>
        <v>-1.6734595896854998E-2</v>
      </c>
      <c r="D200" s="49">
        <v>167.21</v>
      </c>
      <c r="E200" s="64">
        <f t="shared" si="10"/>
        <v>-6.1187953351460322E-3</v>
      </c>
      <c r="F200" s="49">
        <v>5.99</v>
      </c>
      <c r="G200" s="65">
        <f t="shared" si="11"/>
        <v>-3.5687729443071969E-2</v>
      </c>
    </row>
    <row r="201" spans="1:7" ht="16">
      <c r="A201" s="44">
        <v>44609</v>
      </c>
      <c r="B201" s="49">
        <v>16492.05</v>
      </c>
      <c r="C201" s="50">
        <f t="shared" si="9"/>
        <v>-6.065514149076634E-3</v>
      </c>
      <c r="D201" s="49">
        <v>166.19</v>
      </c>
      <c r="E201" s="64">
        <f t="shared" si="10"/>
        <v>-1.7175357723076878E-2</v>
      </c>
      <c r="F201" s="49">
        <v>5.78</v>
      </c>
      <c r="G201" s="65">
        <f t="shared" si="11"/>
        <v>-3.8805574421795219E-2</v>
      </c>
    </row>
    <row r="202" spans="1:7" ht="16">
      <c r="A202" s="44">
        <v>44610</v>
      </c>
      <c r="B202" s="49">
        <v>16392.32</v>
      </c>
      <c r="C202" s="50">
        <f t="shared" si="9"/>
        <v>-1.0837957234617335E-2</v>
      </c>
      <c r="D202" s="49">
        <v>163.36000000000001</v>
      </c>
      <c r="E202" s="64">
        <f t="shared" si="10"/>
        <v>-1.3682802067305211E-2</v>
      </c>
      <c r="F202" s="49">
        <v>5.56</v>
      </c>
      <c r="G202" s="65">
        <f t="shared" si="11"/>
        <v>-3.2909734088797826E-2</v>
      </c>
    </row>
    <row r="203" spans="1:7" ht="16">
      <c r="A203" s="44">
        <v>44614</v>
      </c>
      <c r="B203" s="49">
        <v>16215.62</v>
      </c>
      <c r="C203" s="50">
        <f t="shared" si="9"/>
        <v>-1.2163251161274147E-2</v>
      </c>
      <c r="D203" s="49">
        <v>161.13999999999999</v>
      </c>
      <c r="E203" s="64">
        <f t="shared" si="10"/>
        <v>4.9633950640526336E-4</v>
      </c>
      <c r="F203" s="49">
        <v>5.38</v>
      </c>
      <c r="G203" s="65">
        <f t="shared" si="11"/>
        <v>-3.7243990909823221E-3</v>
      </c>
    </row>
    <row r="204" spans="1:7" ht="16">
      <c r="A204" s="44">
        <v>44615</v>
      </c>
      <c r="B204" s="49">
        <v>16019.58</v>
      </c>
      <c r="C204" s="50">
        <f t="shared" si="9"/>
        <v>-1.4736582399841325E-3</v>
      </c>
      <c r="D204" s="49">
        <v>161.22</v>
      </c>
      <c r="E204" s="64">
        <f t="shared" si="10"/>
        <v>-1.9289175212674259E-2</v>
      </c>
      <c r="F204" s="49">
        <v>5.36</v>
      </c>
      <c r="G204" s="65">
        <f t="shared" si="11"/>
        <v>3.303052567648157E-2</v>
      </c>
    </row>
    <row r="205" spans="1:7" ht="16">
      <c r="A205" s="44">
        <v>44616</v>
      </c>
      <c r="B205" s="49">
        <v>15995.99</v>
      </c>
      <c r="C205" s="50">
        <f t="shared" si="9"/>
        <v>2.6646695395960762E-2</v>
      </c>
      <c r="D205" s="49">
        <v>158.13999999999999</v>
      </c>
      <c r="E205" s="64">
        <f t="shared" si="10"/>
        <v>4.8507071713762784E-2</v>
      </c>
      <c r="F205" s="49">
        <v>5.54</v>
      </c>
      <c r="G205" s="65">
        <f t="shared" si="11"/>
        <v>3.022452290872657E-2</v>
      </c>
    </row>
    <row r="206" spans="1:7" ht="16">
      <c r="A206" s="44">
        <v>44617</v>
      </c>
      <c r="B206" s="49">
        <v>16427.96</v>
      </c>
      <c r="C206" s="50">
        <f t="shared" si="9"/>
        <v>-6.9678690433949697E-3</v>
      </c>
      <c r="D206" s="49">
        <v>166</v>
      </c>
      <c r="E206" s="64">
        <f t="shared" si="10"/>
        <v>-8.6517767492519937E-3</v>
      </c>
      <c r="F206" s="49">
        <v>5.71</v>
      </c>
      <c r="G206" s="65">
        <f t="shared" si="11"/>
        <v>1.2184659016367227E-2</v>
      </c>
    </row>
    <row r="207" spans="1:7" ht="16">
      <c r="A207" s="44">
        <v>44620</v>
      </c>
      <c r="B207" s="49">
        <v>16313.89</v>
      </c>
      <c r="C207" s="50">
        <f t="shared" si="9"/>
        <v>-1.5114985110429302E-2</v>
      </c>
      <c r="D207" s="49">
        <v>164.57</v>
      </c>
      <c r="E207" s="64">
        <f t="shared" si="10"/>
        <v>-3.4695837830929221E-3</v>
      </c>
      <c r="F207" s="49">
        <v>5.78</v>
      </c>
      <c r="G207" s="65">
        <f t="shared" si="11"/>
        <v>-1.7316021642779234E-3</v>
      </c>
    </row>
    <row r="208" spans="1:7" ht="16">
      <c r="A208" s="44">
        <v>44621</v>
      </c>
      <c r="B208" s="49">
        <v>16069.16</v>
      </c>
      <c r="C208" s="50">
        <f t="shared" si="9"/>
        <v>1.9214725367103114E-2</v>
      </c>
      <c r="D208" s="49">
        <v>164</v>
      </c>
      <c r="E208" s="64">
        <f t="shared" si="10"/>
        <v>1.2362295360639486E-2</v>
      </c>
      <c r="F208" s="49">
        <v>5.77</v>
      </c>
      <c r="G208" s="65">
        <f t="shared" si="11"/>
        <v>1.8884681390527236E-2</v>
      </c>
    </row>
    <row r="209" spans="1:7" ht="16">
      <c r="A209" s="44">
        <v>44622</v>
      </c>
      <c r="B209" s="49">
        <v>16380.91</v>
      </c>
      <c r="C209" s="50">
        <f t="shared" si="9"/>
        <v>-5.719303954318633E-3</v>
      </c>
      <c r="D209" s="49">
        <v>166.04</v>
      </c>
      <c r="E209" s="64">
        <f t="shared" si="10"/>
        <v>1.4588325200826979E-2</v>
      </c>
      <c r="F209" s="49">
        <v>5.88</v>
      </c>
      <c r="G209" s="65">
        <f t="shared" si="11"/>
        <v>-5.1151006667704557E-3</v>
      </c>
    </row>
    <row r="210" spans="1:7" ht="16">
      <c r="A210" s="44">
        <v>44623</v>
      </c>
      <c r="B210" s="49">
        <v>16287.49</v>
      </c>
      <c r="C210" s="50">
        <f t="shared" si="9"/>
        <v>-9.7375153033265605E-3</v>
      </c>
      <c r="D210" s="49">
        <v>168.48</v>
      </c>
      <c r="E210" s="64">
        <f t="shared" si="10"/>
        <v>5.9178773726928924E-3</v>
      </c>
      <c r="F210" s="49">
        <v>5.85</v>
      </c>
      <c r="G210" s="65">
        <f t="shared" si="11"/>
        <v>-7.2662600375913655E-2</v>
      </c>
    </row>
    <row r="211" spans="1:7" ht="16">
      <c r="A211" s="44">
        <v>44624</v>
      </c>
      <c r="B211" s="49">
        <v>16129.66</v>
      </c>
      <c r="C211" s="50">
        <f t="shared" si="9"/>
        <v>-2.647503435058951E-2</v>
      </c>
      <c r="D211" s="49">
        <v>169.48</v>
      </c>
      <c r="E211" s="64">
        <f t="shared" si="10"/>
        <v>1.5979736558450419E-2</v>
      </c>
      <c r="F211" s="49">
        <v>5.44</v>
      </c>
      <c r="G211" s="65">
        <f t="shared" si="11"/>
        <v>-4.897400459645973E-2</v>
      </c>
    </row>
    <row r="212" spans="1:7" ht="16">
      <c r="A212" s="44">
        <v>44627</v>
      </c>
      <c r="B212" s="49">
        <v>15708.23</v>
      </c>
      <c r="C212" s="50">
        <f t="shared" si="9"/>
        <v>-5.253064977871702E-3</v>
      </c>
      <c r="D212" s="49">
        <v>172.21</v>
      </c>
      <c r="E212" s="64">
        <f t="shared" si="10"/>
        <v>-2.0474126146289073E-2</v>
      </c>
      <c r="F212" s="49">
        <v>5.18</v>
      </c>
      <c r="G212" s="65">
        <f t="shared" si="11"/>
        <v>1.1516442061559218E-2</v>
      </c>
    </row>
    <row r="213" spans="1:7" ht="16">
      <c r="A213" s="44">
        <v>44628</v>
      </c>
      <c r="B213" s="49">
        <v>15625.93</v>
      </c>
      <c r="C213" s="50">
        <f t="shared" si="9"/>
        <v>2.2252272208522328E-2</v>
      </c>
      <c r="D213" s="49">
        <v>168.72</v>
      </c>
      <c r="E213" s="64">
        <f t="shared" si="10"/>
        <v>3.7860906560904795E-3</v>
      </c>
      <c r="F213" s="49">
        <v>5.24</v>
      </c>
      <c r="G213" s="65">
        <f t="shared" si="11"/>
        <v>6.2867278060268816E-2</v>
      </c>
    </row>
    <row r="214" spans="1:7" ht="16">
      <c r="A214" s="44">
        <v>44629</v>
      </c>
      <c r="B214" s="49">
        <v>15977.54</v>
      </c>
      <c r="C214" s="50">
        <f t="shared" si="9"/>
        <v>-3.0074833604274431E-3</v>
      </c>
      <c r="D214" s="49">
        <v>169.36</v>
      </c>
      <c r="E214" s="64">
        <f t="shared" si="10"/>
        <v>1.7698075529786195E-3</v>
      </c>
      <c r="F214" s="49">
        <v>5.58</v>
      </c>
      <c r="G214" s="65">
        <f t="shared" si="11"/>
        <v>-2.5409715525368304E-2</v>
      </c>
    </row>
    <row r="215" spans="1:7" ht="16">
      <c r="A215" s="44">
        <v>44630</v>
      </c>
      <c r="B215" s="49">
        <v>15929.56</v>
      </c>
      <c r="C215" s="50">
        <f t="shared" si="9"/>
        <v>-1.1101244382283326E-2</v>
      </c>
      <c r="D215" s="49">
        <v>169.66</v>
      </c>
      <c r="E215" s="64">
        <f t="shared" si="10"/>
        <v>-1.8288551158081034E-3</v>
      </c>
      <c r="F215" s="49">
        <v>5.44</v>
      </c>
      <c r="G215" s="65">
        <f t="shared" si="11"/>
        <v>-4.1281658973304047E-2</v>
      </c>
    </row>
    <row r="216" spans="1:7" ht="16">
      <c r="A216" s="44">
        <v>44631</v>
      </c>
      <c r="B216" s="49">
        <v>15753.7</v>
      </c>
      <c r="C216" s="50">
        <f t="shared" si="9"/>
        <v>-3.7744833439230518E-3</v>
      </c>
      <c r="D216" s="49">
        <v>169.35</v>
      </c>
      <c r="E216" s="64">
        <f t="shared" si="10"/>
        <v>1.3722945825340283E-2</v>
      </c>
      <c r="F216" s="49">
        <v>5.22</v>
      </c>
      <c r="G216" s="65">
        <f t="shared" si="11"/>
        <v>-3.906746819090956E-2</v>
      </c>
    </row>
    <row r="217" spans="1:7" ht="16">
      <c r="A217" s="44">
        <v>44634</v>
      </c>
      <c r="B217" s="49">
        <v>15694.35</v>
      </c>
      <c r="C217" s="50">
        <f t="shared" si="9"/>
        <v>1.2745970121308403E-2</v>
      </c>
      <c r="D217" s="49">
        <v>171.69</v>
      </c>
      <c r="E217" s="64">
        <f t="shared" si="10"/>
        <v>2.5588608288192205E-2</v>
      </c>
      <c r="F217" s="49">
        <v>5.0199999999999996</v>
      </c>
      <c r="G217" s="65">
        <f t="shared" si="11"/>
        <v>3.522869188374389E-2</v>
      </c>
    </row>
    <row r="218" spans="1:7" ht="16">
      <c r="A218" s="44">
        <v>44635</v>
      </c>
      <c r="B218" s="49">
        <v>15895.67</v>
      </c>
      <c r="C218" s="50">
        <f t="shared" si="9"/>
        <v>2.2753605692901857E-2</v>
      </c>
      <c r="D218" s="49">
        <v>176.14</v>
      </c>
      <c r="E218" s="64">
        <f t="shared" si="10"/>
        <v>-9.2397851219043758E-3</v>
      </c>
      <c r="F218" s="49">
        <v>5.2</v>
      </c>
      <c r="G218" s="65">
        <f t="shared" si="11"/>
        <v>5.9719234701622215E-2</v>
      </c>
    </row>
    <row r="219" spans="1:7" ht="16">
      <c r="A219" s="44">
        <v>44636</v>
      </c>
      <c r="B219" s="49">
        <v>16261.5</v>
      </c>
      <c r="C219" s="50">
        <f t="shared" si="9"/>
        <v>1.3564383112042222E-2</v>
      </c>
      <c r="D219" s="49">
        <v>174.52</v>
      </c>
      <c r="E219" s="64">
        <f t="shared" si="10"/>
        <v>1.2979801948134195E-2</v>
      </c>
      <c r="F219" s="49">
        <v>5.52</v>
      </c>
      <c r="G219" s="65">
        <f t="shared" si="11"/>
        <v>2.3277684869345894E-2</v>
      </c>
    </row>
    <row r="220" spans="1:7" ht="16">
      <c r="A220" s="44">
        <v>44637</v>
      </c>
      <c r="B220" s="49">
        <v>16483.580000000002</v>
      </c>
      <c r="C220" s="50">
        <f t="shared" si="9"/>
        <v>7.799117493506813E-3</v>
      </c>
      <c r="D220" s="49">
        <v>176.8</v>
      </c>
      <c r="E220" s="64">
        <f t="shared" si="10"/>
        <v>-1.1147880208429051E-2</v>
      </c>
      <c r="F220" s="49">
        <v>5.65</v>
      </c>
      <c r="G220" s="65">
        <f t="shared" si="11"/>
        <v>4.1600452505145435E-2</v>
      </c>
    </row>
    <row r="221" spans="1:7" ht="16">
      <c r="A221" s="44">
        <v>44638</v>
      </c>
      <c r="B221" s="49">
        <v>16612.64</v>
      </c>
      <c r="C221" s="50">
        <f t="shared" si="9"/>
        <v>-3.5942950436229637E-4</v>
      </c>
      <c r="D221" s="49">
        <v>174.84</v>
      </c>
      <c r="E221" s="64">
        <f t="shared" si="10"/>
        <v>5.6463491613341077E-3</v>
      </c>
      <c r="F221" s="49">
        <v>5.89</v>
      </c>
      <c r="G221" s="65">
        <f t="shared" si="11"/>
        <v>1.1814483413763233E-2</v>
      </c>
    </row>
    <row r="222" spans="1:7" ht="16">
      <c r="A222" s="44">
        <v>44641</v>
      </c>
      <c r="B222" s="49">
        <v>16606.669999999998</v>
      </c>
      <c r="C222" s="50">
        <f t="shared" si="9"/>
        <v>7.7265947656037781E-3</v>
      </c>
      <c r="D222" s="49">
        <v>175.83</v>
      </c>
      <c r="E222" s="64">
        <f t="shared" si="10"/>
        <v>-4.7316452329333458E-3</v>
      </c>
      <c r="F222" s="49">
        <v>5.96</v>
      </c>
      <c r="G222" s="65">
        <f t="shared" si="11"/>
        <v>2.9754261081792688E-2</v>
      </c>
    </row>
    <row r="223" spans="1:7" ht="16">
      <c r="A223" s="44">
        <v>44642</v>
      </c>
      <c r="B223" s="49">
        <v>16735.48</v>
      </c>
      <c r="C223" s="50">
        <f t="shared" si="9"/>
        <v>-1.0629639753060971E-2</v>
      </c>
      <c r="D223" s="49">
        <v>175</v>
      </c>
      <c r="E223" s="64">
        <f t="shared" si="10"/>
        <v>-3.7785583400848921E-3</v>
      </c>
      <c r="F223" s="49">
        <v>6.14</v>
      </c>
      <c r="G223" s="65">
        <f t="shared" si="11"/>
        <v>-2.9754261081792688E-2</v>
      </c>
    </row>
    <row r="224" spans="1:7" ht="16">
      <c r="A224" s="44">
        <v>44643</v>
      </c>
      <c r="B224" s="49">
        <v>16558.53</v>
      </c>
      <c r="C224" s="50">
        <f t="shared" si="9"/>
        <v>8.6163186194774255E-3</v>
      </c>
      <c r="D224" s="49">
        <v>174.34</v>
      </c>
      <c r="E224" s="64">
        <f t="shared" si="10"/>
        <v>5.1490473622681776E-3</v>
      </c>
      <c r="F224" s="49">
        <v>5.96</v>
      </c>
      <c r="G224" s="65">
        <f t="shared" si="11"/>
        <v>1.3333530869465093E-2</v>
      </c>
    </row>
    <row r="225" spans="1:7" ht="16">
      <c r="A225" s="44">
        <v>44644</v>
      </c>
      <c r="B225" s="49">
        <v>16701.82</v>
      </c>
      <c r="C225" s="50">
        <f t="shared" si="9"/>
        <v>5.4325275971329745E-3</v>
      </c>
      <c r="D225" s="49">
        <v>175.24</v>
      </c>
      <c r="E225" s="64">
        <f t="shared" si="10"/>
        <v>9.5411900544277728E-3</v>
      </c>
      <c r="F225" s="49">
        <v>6.04</v>
      </c>
      <c r="G225" s="65">
        <f t="shared" si="11"/>
        <v>-0.25510590201716821</v>
      </c>
    </row>
    <row r="226" spans="1:7" ht="16">
      <c r="A226" s="44">
        <v>44645</v>
      </c>
      <c r="B226" s="49">
        <v>16792.8</v>
      </c>
      <c r="C226" s="50">
        <f t="shared" si="9"/>
        <v>3.5246991272153139E-4</v>
      </c>
      <c r="D226" s="49">
        <v>176.92</v>
      </c>
      <c r="E226" s="64">
        <f t="shared" si="10"/>
        <v>5.1303847554438065E-3</v>
      </c>
      <c r="F226" s="49">
        <v>4.68</v>
      </c>
      <c r="G226" s="65">
        <f t="shared" si="11"/>
        <v>4.5937095187025712E-2</v>
      </c>
    </row>
    <row r="227" spans="1:7" ht="16">
      <c r="A227" s="44">
        <v>44648</v>
      </c>
      <c r="B227" s="49">
        <v>16798.72</v>
      </c>
      <c r="C227" s="50">
        <f t="shared" si="9"/>
        <v>1.2778509621716339E-2</v>
      </c>
      <c r="D227" s="49">
        <v>177.83</v>
      </c>
      <c r="E227" s="64">
        <f t="shared" si="10"/>
        <v>-5.0622944524025826E-4</v>
      </c>
      <c r="F227" s="49">
        <v>4.9000000000000004</v>
      </c>
      <c r="G227" s="65">
        <f t="shared" si="11"/>
        <v>7.279515743668985E-2</v>
      </c>
    </row>
    <row r="228" spans="1:7" ht="16">
      <c r="A228" s="44">
        <v>44649</v>
      </c>
      <c r="B228" s="49">
        <v>17014.759999999998</v>
      </c>
      <c r="C228" s="50">
        <f t="shared" si="9"/>
        <v>-4.8309955766914214E-3</v>
      </c>
      <c r="D228" s="49">
        <v>177.74</v>
      </c>
      <c r="E228" s="64">
        <f t="shared" si="10"/>
        <v>1.0354666720315819E-2</v>
      </c>
      <c r="F228" s="49">
        <v>5.27</v>
      </c>
      <c r="G228" s="65">
        <f t="shared" si="11"/>
        <v>-1.8993358036523134E-3</v>
      </c>
    </row>
    <row r="229" spans="1:7" ht="16">
      <c r="A229" s="44">
        <v>44650</v>
      </c>
      <c r="B229" s="49">
        <v>16932.759999999998</v>
      </c>
      <c r="C229" s="50">
        <f t="shared" si="9"/>
        <v>-1.5584922720449867E-2</v>
      </c>
      <c r="D229" s="49">
        <v>179.59</v>
      </c>
      <c r="E229" s="64">
        <f t="shared" si="10"/>
        <v>-1.3228150963596974E-2</v>
      </c>
      <c r="F229" s="49">
        <v>5.26</v>
      </c>
      <c r="G229" s="65">
        <f t="shared" si="11"/>
        <v>-9.5511709843429937E-3</v>
      </c>
    </row>
    <row r="230" spans="1:7" ht="16">
      <c r="A230" s="44">
        <v>44651</v>
      </c>
      <c r="B230" s="49">
        <v>16670.91</v>
      </c>
      <c r="C230" s="50">
        <f t="shared" si="9"/>
        <v>6.9841694162775525E-3</v>
      </c>
      <c r="D230" s="49">
        <v>177.23</v>
      </c>
      <c r="E230" s="64">
        <f t="shared" si="10"/>
        <v>5.4020726722754375E-3</v>
      </c>
      <c r="F230" s="49">
        <v>5.21</v>
      </c>
      <c r="G230" s="65">
        <f t="shared" si="11"/>
        <v>-5.3214524565444288E-2</v>
      </c>
    </row>
    <row r="231" spans="1:7" ht="16">
      <c r="A231" s="44">
        <v>44652</v>
      </c>
      <c r="B231" s="49">
        <v>16787.75</v>
      </c>
      <c r="C231" s="50">
        <f t="shared" si="9"/>
        <v>2.4986998945344396E-3</v>
      </c>
      <c r="D231" s="49">
        <v>178.19</v>
      </c>
      <c r="E231" s="64">
        <f t="shared" si="10"/>
        <v>-9.699506484181164E-3</v>
      </c>
      <c r="F231" s="49">
        <v>4.9400000000000004</v>
      </c>
      <c r="G231" s="65">
        <f t="shared" si="11"/>
        <v>2.2022912087437119E-2</v>
      </c>
    </row>
    <row r="232" spans="1:7" ht="16">
      <c r="A232" s="44">
        <v>44655</v>
      </c>
      <c r="B232" s="49">
        <v>16829.75</v>
      </c>
      <c r="C232" s="50">
        <f t="shared" si="9"/>
        <v>-1.1035278738214416E-2</v>
      </c>
      <c r="D232" s="49">
        <v>176.47</v>
      </c>
      <c r="E232" s="64">
        <f t="shared" si="10"/>
        <v>6.4392450240937649E-3</v>
      </c>
      <c r="F232" s="49">
        <v>5.05</v>
      </c>
      <c r="G232" s="65">
        <f t="shared" si="11"/>
        <v>-3.2195939800487849E-2</v>
      </c>
    </row>
    <row r="233" spans="1:7" ht="16">
      <c r="A233" s="44">
        <v>44656</v>
      </c>
      <c r="B233" s="49">
        <v>16645.05</v>
      </c>
      <c r="C233" s="50">
        <f t="shared" si="9"/>
        <v>-3.4875901040720692E-3</v>
      </c>
      <c r="D233" s="49">
        <v>177.61</v>
      </c>
      <c r="E233" s="64">
        <f t="shared" si="10"/>
        <v>2.5679490218728063E-2</v>
      </c>
      <c r="F233" s="49">
        <v>4.8899999999999997</v>
      </c>
      <c r="G233" s="65">
        <f t="shared" si="11"/>
        <v>-3.5383503889316659E-2</v>
      </c>
    </row>
    <row r="234" spans="1:7" ht="16">
      <c r="A234" s="44">
        <v>44657</v>
      </c>
      <c r="B234" s="49">
        <v>16587.099999999999</v>
      </c>
      <c r="C234" s="50">
        <f t="shared" si="9"/>
        <v>2.6701964023772007E-3</v>
      </c>
      <c r="D234" s="49">
        <v>182.23</v>
      </c>
      <c r="E234" s="64">
        <f t="shared" si="10"/>
        <v>-2.5824899651771815E-3</v>
      </c>
      <c r="F234" s="49">
        <v>4.72</v>
      </c>
      <c r="G234" s="65">
        <f t="shared" si="11"/>
        <v>-8.5106896679085775E-3</v>
      </c>
    </row>
    <row r="235" spans="1:7" ht="16">
      <c r="A235" s="44">
        <v>44658</v>
      </c>
      <c r="B235" s="49">
        <v>16631.45</v>
      </c>
      <c r="C235" s="50">
        <f t="shared" si="9"/>
        <v>3.5112606375253819E-3</v>
      </c>
      <c r="D235" s="49">
        <v>181.76</v>
      </c>
      <c r="E235" s="64">
        <f t="shared" si="10"/>
        <v>1.9786749337944443E-3</v>
      </c>
      <c r="F235" s="49">
        <v>4.68</v>
      </c>
      <c r="G235" s="65">
        <f t="shared" si="11"/>
        <v>-1.2903404835907795E-2</v>
      </c>
    </row>
    <row r="236" spans="1:7" ht="16">
      <c r="A236" s="44">
        <v>44659</v>
      </c>
      <c r="B236" s="49">
        <v>16689.95</v>
      </c>
      <c r="C236" s="50">
        <f t="shared" si="9"/>
        <v>-9.3757788196189296E-3</v>
      </c>
      <c r="D236" s="49">
        <v>182.12</v>
      </c>
      <c r="E236" s="64">
        <f t="shared" si="10"/>
        <v>-1.259824376125529E-2</v>
      </c>
      <c r="F236" s="49">
        <v>4.62</v>
      </c>
      <c r="G236" s="65">
        <f t="shared" si="11"/>
        <v>-4.3384015985983293E-3</v>
      </c>
    </row>
    <row r="237" spans="1:7" ht="16">
      <c r="A237" s="44">
        <v>44662</v>
      </c>
      <c r="B237" s="49">
        <v>16534.2</v>
      </c>
      <c r="C237" s="50">
        <f t="shared" si="9"/>
        <v>-4.1339214797524448E-3</v>
      </c>
      <c r="D237" s="49">
        <v>179.84</v>
      </c>
      <c r="E237" s="64">
        <f t="shared" si="10"/>
        <v>3.3357425116165018E-4</v>
      </c>
      <c r="F237" s="49">
        <v>4.5999999999999996</v>
      </c>
      <c r="G237" s="65">
        <f t="shared" si="11"/>
        <v>-1.7544309650909362E-2</v>
      </c>
    </row>
    <row r="238" spans="1:7" ht="16">
      <c r="A238" s="44">
        <v>44663</v>
      </c>
      <c r="B238" s="49">
        <v>16465.990000000002</v>
      </c>
      <c r="C238" s="50">
        <f t="shared" si="9"/>
        <v>8.996220981208225E-3</v>
      </c>
      <c r="D238" s="49">
        <v>179.9</v>
      </c>
      <c r="E238" s="64">
        <f t="shared" si="10"/>
        <v>4.2156707652099001E-3</v>
      </c>
      <c r="F238" s="49">
        <v>4.5199999999999996</v>
      </c>
      <c r="G238" s="65">
        <f t="shared" si="11"/>
        <v>2.1882711249507691E-2</v>
      </c>
    </row>
    <row r="239" spans="1:7" ht="16">
      <c r="A239" s="44">
        <v>44664</v>
      </c>
      <c r="B239" s="49">
        <v>16614.79</v>
      </c>
      <c r="C239" s="50">
        <f t="shared" si="9"/>
        <v>-6.2355490739882669E-3</v>
      </c>
      <c r="D239" s="49">
        <v>180.66</v>
      </c>
      <c r="E239" s="64">
        <f t="shared" si="10"/>
        <v>-4.2156707652099001E-3</v>
      </c>
      <c r="F239" s="49">
        <v>4.62</v>
      </c>
      <c r="G239" s="65">
        <f t="shared" si="11"/>
        <v>-2.1882711249507691E-2</v>
      </c>
    </row>
    <row r="240" spans="1:7" ht="16">
      <c r="A240" s="44">
        <v>44665</v>
      </c>
      <c r="B240" s="49">
        <v>16511.509999999998</v>
      </c>
      <c r="C240" s="50">
        <f t="shared" si="9"/>
        <v>-2.747311123549423E-3</v>
      </c>
      <c r="D240" s="49">
        <v>179.9</v>
      </c>
      <c r="E240" s="64">
        <f t="shared" si="10"/>
        <v>-1.2529529614933033E-2</v>
      </c>
      <c r="F240" s="49">
        <v>4.5199999999999996</v>
      </c>
      <c r="G240" s="65">
        <f t="shared" si="11"/>
        <v>-3.3748984736641008E-2</v>
      </c>
    </row>
    <row r="241" spans="1:7" ht="16">
      <c r="A241" s="44">
        <v>44669</v>
      </c>
      <c r="B241" s="49">
        <v>16466.21</v>
      </c>
      <c r="C241" s="50">
        <f t="shared" si="9"/>
        <v>1.1634205800609365E-2</v>
      </c>
      <c r="D241" s="49">
        <v>177.66</v>
      </c>
      <c r="E241" s="64">
        <f t="shared" si="10"/>
        <v>3.0051604443887214E-2</v>
      </c>
      <c r="F241" s="49">
        <v>4.37</v>
      </c>
      <c r="G241" s="65">
        <f t="shared" si="11"/>
        <v>3.3748984736641008E-2</v>
      </c>
    </row>
    <row r="242" spans="1:7" ht="16">
      <c r="A242" s="44">
        <v>44670</v>
      </c>
      <c r="B242" s="49">
        <v>16658.900000000001</v>
      </c>
      <c r="C242" s="50">
        <f t="shared" si="9"/>
        <v>6.1310325877688143E-3</v>
      </c>
      <c r="D242" s="49">
        <v>183.08</v>
      </c>
      <c r="E242" s="64">
        <f t="shared" si="10"/>
        <v>4.4145369673200818E-3</v>
      </c>
      <c r="F242" s="49">
        <v>4.5199999999999996</v>
      </c>
      <c r="G242" s="65">
        <f t="shared" si="11"/>
        <v>-4.5256591588120898E-2</v>
      </c>
    </row>
    <row r="243" spans="1:7" ht="16">
      <c r="A243" s="44">
        <v>44671</v>
      </c>
      <c r="B243" s="49">
        <v>16761.349999999999</v>
      </c>
      <c r="C243" s="50">
        <f t="shared" si="9"/>
        <v>-1.5755866714579625E-2</v>
      </c>
      <c r="D243" s="49">
        <v>183.89</v>
      </c>
      <c r="E243" s="64">
        <f t="shared" si="10"/>
        <v>-2.8863192263868243E-3</v>
      </c>
      <c r="F243" s="49">
        <v>4.32</v>
      </c>
      <c r="G243" s="65">
        <f t="shared" si="11"/>
        <v>-3.294415571935394E-2</v>
      </c>
    </row>
    <row r="244" spans="1:7" ht="16">
      <c r="A244" s="44">
        <v>44672</v>
      </c>
      <c r="B244" s="49">
        <v>16499.330000000002</v>
      </c>
      <c r="C244" s="50">
        <f t="shared" si="9"/>
        <v>-2.7182978644146871E-2</v>
      </c>
      <c r="D244" s="49">
        <v>183.36</v>
      </c>
      <c r="E244" s="64">
        <f t="shared" si="10"/>
        <v>-9.9754184278939562E-3</v>
      </c>
      <c r="F244" s="49">
        <v>4.18</v>
      </c>
      <c r="G244" s="65">
        <f t="shared" si="11"/>
        <v>0</v>
      </c>
    </row>
    <row r="245" spans="1:7" ht="16">
      <c r="A245" s="44">
        <v>44673</v>
      </c>
      <c r="B245" s="49">
        <v>16056.87</v>
      </c>
      <c r="C245" s="50">
        <f t="shared" si="9"/>
        <v>-1.3141656172699356E-4</v>
      </c>
      <c r="D245" s="49">
        <v>181.54</v>
      </c>
      <c r="E245" s="64">
        <f t="shared" si="10"/>
        <v>2.4324420610378539E-2</v>
      </c>
      <c r="F245" s="49">
        <v>4.18</v>
      </c>
      <c r="G245" s="65">
        <f t="shared" si="11"/>
        <v>3.294415571935394E-2</v>
      </c>
    </row>
    <row r="246" spans="1:7" ht="16">
      <c r="A246" s="44">
        <v>44676</v>
      </c>
      <c r="B246" s="49">
        <v>16054.76</v>
      </c>
      <c r="C246" s="50">
        <f t="shared" si="9"/>
        <v>-2.2711612758795852E-2</v>
      </c>
      <c r="D246" s="49">
        <v>186.01</v>
      </c>
      <c r="E246" s="64">
        <f t="shared" si="10"/>
        <v>-7.1758380700712721E-3</v>
      </c>
      <c r="F246" s="49">
        <v>4.32</v>
      </c>
      <c r="G246" s="65">
        <f t="shared" si="11"/>
        <v>-6.2072428642377719E-2</v>
      </c>
    </row>
    <row r="247" spans="1:7" ht="16">
      <c r="A247" s="44">
        <v>44677</v>
      </c>
      <c r="B247" s="49">
        <v>15694.24</v>
      </c>
      <c r="C247" s="50">
        <f t="shared" si="9"/>
        <v>3.0270992187055867E-3</v>
      </c>
      <c r="D247" s="49">
        <v>184.68</v>
      </c>
      <c r="E247" s="64">
        <f t="shared" si="10"/>
        <v>-1.4068610905225931E-2</v>
      </c>
      <c r="F247" s="49">
        <v>4.0599999999999996</v>
      </c>
      <c r="G247" s="65">
        <f t="shared" si="11"/>
        <v>2.4600258408624676E-3</v>
      </c>
    </row>
    <row r="248" spans="1:7" ht="16">
      <c r="A248" s="44">
        <v>44678</v>
      </c>
      <c r="B248" s="49">
        <v>15741.82</v>
      </c>
      <c r="C248" s="50">
        <f t="shared" si="9"/>
        <v>1.830827389709988E-2</v>
      </c>
      <c r="D248" s="49">
        <v>182.1</v>
      </c>
      <c r="E248" s="64">
        <f t="shared" si="10"/>
        <v>7.4406733479470688E-3</v>
      </c>
      <c r="F248" s="49">
        <v>4.07</v>
      </c>
      <c r="G248" s="65">
        <f t="shared" si="11"/>
        <v>-2.4600258408624676E-3</v>
      </c>
    </row>
    <row r="249" spans="1:7" ht="16">
      <c r="A249" s="44">
        <v>44679</v>
      </c>
      <c r="B249" s="49">
        <v>16032.68</v>
      </c>
      <c r="C249" s="50">
        <f t="shared" si="9"/>
        <v>-2.6381138319180764E-2</v>
      </c>
      <c r="D249" s="49">
        <v>183.46</v>
      </c>
      <c r="E249" s="64">
        <f t="shared" si="10"/>
        <v>-1.6487513515154539E-2</v>
      </c>
      <c r="F249" s="49">
        <v>4.0599999999999996</v>
      </c>
      <c r="G249" s="65">
        <f t="shared" si="11"/>
        <v>-2.4938948347251966E-2</v>
      </c>
    </row>
    <row r="250" spans="1:7" ht="16">
      <c r="A250" s="44">
        <v>44680</v>
      </c>
      <c r="B250" s="49">
        <v>15615.25</v>
      </c>
      <c r="C250" s="50">
        <f t="shared" si="9"/>
        <v>-3.8239166916120837E-4</v>
      </c>
      <c r="D250" s="49">
        <v>180.46</v>
      </c>
      <c r="E250" s="64">
        <f t="shared" si="10"/>
        <v>-1.0136539034452774E-2</v>
      </c>
      <c r="F250" s="49">
        <v>3.96</v>
      </c>
      <c r="G250" s="65">
        <f t="shared" si="11"/>
        <v>1.503787736454032E-2</v>
      </c>
    </row>
    <row r="251" spans="1:7" ht="16">
      <c r="A251" s="44">
        <v>44683</v>
      </c>
      <c r="B251" s="49">
        <v>15609.28</v>
      </c>
      <c r="C251" s="50">
        <f t="shared" si="9"/>
        <v>7.6742282278221552E-3</v>
      </c>
      <c r="D251" s="49">
        <v>178.64</v>
      </c>
      <c r="E251" s="64">
        <f t="shared" si="10"/>
        <v>-1.9611694852237349E-3</v>
      </c>
      <c r="F251" s="49">
        <v>4.0199999999999996</v>
      </c>
      <c r="G251" s="65">
        <f t="shared" si="11"/>
        <v>2.9413885206293289E-2</v>
      </c>
    </row>
    <row r="252" spans="1:7" ht="16">
      <c r="A252" s="44">
        <v>44684</v>
      </c>
      <c r="B252" s="49">
        <v>15729.53</v>
      </c>
      <c r="C252" s="50">
        <f t="shared" si="9"/>
        <v>2.4496705825329812E-2</v>
      </c>
      <c r="D252" s="49">
        <v>178.29</v>
      </c>
      <c r="E252" s="64">
        <f t="shared" si="10"/>
        <v>1.0655907127558706E-2</v>
      </c>
      <c r="F252" s="49">
        <v>4.1399999999999997</v>
      </c>
      <c r="G252" s="65">
        <f t="shared" si="11"/>
        <v>3.7919234862293871E-2</v>
      </c>
    </row>
    <row r="253" spans="1:7" ht="16">
      <c r="A253" s="44">
        <v>44685</v>
      </c>
      <c r="B253" s="49">
        <v>16119.61</v>
      </c>
      <c r="C253" s="50">
        <f t="shared" si="9"/>
        <v>-2.9398866993423312E-2</v>
      </c>
      <c r="D253" s="49">
        <v>180.2</v>
      </c>
      <c r="E253" s="64">
        <f t="shared" si="10"/>
        <v>-1.927446491169782E-2</v>
      </c>
      <c r="F253" s="49">
        <v>4.3</v>
      </c>
      <c r="G253" s="65">
        <f t="shared" si="11"/>
        <v>-0.11054187439982388</v>
      </c>
    </row>
    <row r="254" spans="1:7" ht="16">
      <c r="A254" s="44">
        <v>44686</v>
      </c>
      <c r="B254" s="49">
        <v>15652.61</v>
      </c>
      <c r="C254" s="50">
        <f t="shared" si="9"/>
        <v>-5.5126525091324652E-3</v>
      </c>
      <c r="D254" s="49">
        <v>176.76</v>
      </c>
      <c r="E254" s="64">
        <f t="shared" si="10"/>
        <v>-2.2088191802662749E-3</v>
      </c>
      <c r="F254" s="49">
        <v>3.85</v>
      </c>
      <c r="G254" s="65">
        <f t="shared" si="11"/>
        <v>-4.7881486233213977E-2</v>
      </c>
    </row>
    <row r="255" spans="1:7" ht="16">
      <c r="A255" s="44">
        <v>44687</v>
      </c>
      <c r="B255" s="49">
        <v>15566.56</v>
      </c>
      <c r="C255" s="50">
        <f t="shared" si="9"/>
        <v>-3.3224245628840521E-2</v>
      </c>
      <c r="D255" s="49">
        <v>176.37</v>
      </c>
      <c r="E255" s="64">
        <f t="shared" si="10"/>
        <v>5.4283424221148735E-3</v>
      </c>
      <c r="F255" s="49">
        <v>3.67</v>
      </c>
      <c r="G255" s="65">
        <f t="shared" si="11"/>
        <v>-3.8893791121273447E-2</v>
      </c>
    </row>
    <row r="256" spans="1:7" ht="16">
      <c r="A256" s="44">
        <v>44690</v>
      </c>
      <c r="B256" s="49">
        <v>15057.87</v>
      </c>
      <c r="C256" s="50">
        <f t="shared" si="9"/>
        <v>-2.1360476496425918E-3</v>
      </c>
      <c r="D256" s="49">
        <v>177.33</v>
      </c>
      <c r="E256" s="64">
        <f t="shared" si="10"/>
        <v>-1.3543255836800938E-3</v>
      </c>
      <c r="F256" s="49">
        <v>3.53</v>
      </c>
      <c r="G256" s="65">
        <f t="shared" si="11"/>
        <v>-6.4349681556233884E-2</v>
      </c>
    </row>
    <row r="257" spans="1:7" ht="16">
      <c r="A257" s="44">
        <v>44691</v>
      </c>
      <c r="B257" s="49">
        <v>15025.74</v>
      </c>
      <c r="C257" s="50">
        <f t="shared" si="9"/>
        <v>-8.2599036568637985E-3</v>
      </c>
      <c r="D257" s="49">
        <v>177.09</v>
      </c>
      <c r="E257" s="64">
        <f t="shared" si="10"/>
        <v>-5.4357191765035395E-3</v>
      </c>
      <c r="F257" s="49">
        <v>3.31</v>
      </c>
      <c r="G257" s="65">
        <f t="shared" si="11"/>
        <v>-0.14962919510841233</v>
      </c>
    </row>
    <row r="258" spans="1:7" ht="16">
      <c r="A258" s="44">
        <v>44692</v>
      </c>
      <c r="B258" s="49">
        <v>14902.14</v>
      </c>
      <c r="C258" s="50">
        <f t="shared" si="9"/>
        <v>1.9414591976261164E-3</v>
      </c>
      <c r="D258" s="49">
        <v>176.13</v>
      </c>
      <c r="E258" s="64">
        <f t="shared" si="10"/>
        <v>9.8305876431821204E-3</v>
      </c>
      <c r="F258" s="49">
        <v>2.85</v>
      </c>
      <c r="G258" s="65">
        <f t="shared" si="11"/>
        <v>2.7683428748416894E-2</v>
      </c>
    </row>
    <row r="259" spans="1:7" ht="16">
      <c r="A259" s="44">
        <v>44693</v>
      </c>
      <c r="B259" s="49">
        <v>14931.1</v>
      </c>
      <c r="C259" s="50">
        <f t="shared" si="9"/>
        <v>2.1615723582090851E-2</v>
      </c>
      <c r="D259" s="49">
        <v>177.87</v>
      </c>
      <c r="E259" s="64">
        <f t="shared" si="10"/>
        <v>-5.7510307358965562E-3</v>
      </c>
      <c r="F259" s="49">
        <v>2.93</v>
      </c>
      <c r="G259" s="65">
        <f t="shared" si="11"/>
        <v>7.8729164860213086E-2</v>
      </c>
    </row>
    <row r="260" spans="1:7" ht="16">
      <c r="A260" s="44">
        <v>44694</v>
      </c>
      <c r="B260" s="49">
        <v>15257.36</v>
      </c>
      <c r="C260" s="50">
        <f t="shared" si="9"/>
        <v>1.6122066359613996E-4</v>
      </c>
      <c r="D260" s="49">
        <v>176.85</v>
      </c>
      <c r="E260" s="64">
        <f t="shared" si="10"/>
        <v>6.9309718757448735E-3</v>
      </c>
      <c r="F260" s="49">
        <v>3.17</v>
      </c>
      <c r="G260" s="65">
        <f t="shared" si="11"/>
        <v>7.882867328865939E-2</v>
      </c>
    </row>
    <row r="261" spans="1:7" ht="16">
      <c r="A261" s="44">
        <v>44697</v>
      </c>
      <c r="B261" s="49">
        <v>15259.82</v>
      </c>
      <c r="C261" s="50">
        <f t="shared" ref="C261:C324" si="12">LN(B262)-LN(B261)</f>
        <v>1.8317015766927014E-2</v>
      </c>
      <c r="D261" s="49">
        <v>178.08</v>
      </c>
      <c r="E261" s="64">
        <f t="shared" ref="E261:E324" si="13">LN(D262)-LN(D261)</f>
        <v>4.1468257799373021E-3</v>
      </c>
      <c r="F261" s="49">
        <v>3.43</v>
      </c>
      <c r="G261" s="65">
        <f t="shared" ref="G261:G324" si="14">LN(F262)-LN(F261)</f>
        <v>4.000533461369904E-2</v>
      </c>
    </row>
    <row r="262" spans="1:7" ht="16">
      <c r="A262" s="44">
        <v>44698</v>
      </c>
      <c r="B262" s="49">
        <v>15541.91</v>
      </c>
      <c r="C262" s="50">
        <f t="shared" si="12"/>
        <v>-3.2526440723847472E-2</v>
      </c>
      <c r="D262" s="49">
        <v>178.82</v>
      </c>
      <c r="E262" s="64">
        <f t="shared" si="13"/>
        <v>-1.8740670401251158E-2</v>
      </c>
      <c r="F262" s="49">
        <v>3.57</v>
      </c>
      <c r="G262" s="65">
        <f t="shared" si="14"/>
        <v>-0.11883400790235843</v>
      </c>
    </row>
    <row r="263" spans="1:7" ht="16">
      <c r="A263" s="44">
        <v>44699</v>
      </c>
      <c r="B263" s="49">
        <v>15044.52</v>
      </c>
      <c r="C263" s="50">
        <f t="shared" si="12"/>
        <v>-5.7512553782856912E-4</v>
      </c>
      <c r="D263" s="49">
        <v>175.5</v>
      </c>
      <c r="E263" s="64">
        <f t="shared" si="13"/>
        <v>-8.9286307443021684E-3</v>
      </c>
      <c r="F263" s="49">
        <v>3.17</v>
      </c>
      <c r="G263" s="65">
        <f t="shared" si="14"/>
        <v>-9.5087879690272104E-3</v>
      </c>
    </row>
    <row r="264" spans="1:7" ht="16">
      <c r="A264" s="44">
        <v>44700</v>
      </c>
      <c r="B264" s="49">
        <v>15035.87</v>
      </c>
      <c r="C264" s="50">
        <f t="shared" si="12"/>
        <v>2.9956674575757347E-3</v>
      </c>
      <c r="D264" s="49">
        <v>173.94</v>
      </c>
      <c r="E264" s="64">
        <f t="shared" si="13"/>
        <v>1.7326319677585467E-2</v>
      </c>
      <c r="F264" s="49">
        <v>3.14</v>
      </c>
      <c r="G264" s="65">
        <f t="shared" si="14"/>
        <v>2.5158559636154987E-2</v>
      </c>
    </row>
    <row r="265" spans="1:7" ht="16">
      <c r="A265" s="44">
        <v>44701</v>
      </c>
      <c r="B265" s="49">
        <v>15080.98</v>
      </c>
      <c r="C265" s="50">
        <f t="shared" si="12"/>
        <v>1.7222389701929686E-2</v>
      </c>
      <c r="D265" s="49">
        <v>176.98</v>
      </c>
      <c r="E265" s="64">
        <f t="shared" si="13"/>
        <v>1.3804158372749065E-2</v>
      </c>
      <c r="F265" s="49">
        <v>3.22</v>
      </c>
      <c r="G265" s="65">
        <f t="shared" si="14"/>
        <v>-2.1978906718775226E-2</v>
      </c>
    </row>
    <row r="266" spans="1:7" ht="16">
      <c r="A266" s="44">
        <v>44704</v>
      </c>
      <c r="B266" s="49">
        <v>15342.96</v>
      </c>
      <c r="C266" s="50">
        <f t="shared" si="12"/>
        <v>-3.4328644304526534E-3</v>
      </c>
      <c r="D266" s="49">
        <v>179.44</v>
      </c>
      <c r="E266" s="64">
        <f t="shared" si="13"/>
        <v>1.0863647469083304E-2</v>
      </c>
      <c r="F266" s="49">
        <v>3.15</v>
      </c>
      <c r="G266" s="65">
        <f t="shared" si="14"/>
        <v>-4.5462374076757461E-2</v>
      </c>
    </row>
    <row r="267" spans="1:7" ht="16">
      <c r="A267" s="44">
        <v>44705</v>
      </c>
      <c r="B267" s="49">
        <v>15290.38</v>
      </c>
      <c r="C267" s="50">
        <f t="shared" si="12"/>
        <v>7.9348822668396934E-3</v>
      </c>
      <c r="D267" s="49">
        <v>181.4</v>
      </c>
      <c r="E267" s="64">
        <f t="shared" si="13"/>
        <v>-9.8610294382330821E-3</v>
      </c>
      <c r="F267" s="49">
        <v>3.01</v>
      </c>
      <c r="G267" s="65">
        <f t="shared" si="14"/>
        <v>-3.3277900926744763E-3</v>
      </c>
    </row>
    <row r="268" spans="1:7" ht="16">
      <c r="A268" s="44">
        <v>44706</v>
      </c>
      <c r="B268" s="49">
        <v>15412.19</v>
      </c>
      <c r="C268" s="50">
        <f t="shared" si="12"/>
        <v>1.6206331044173794E-2</v>
      </c>
      <c r="D268" s="49">
        <v>179.62</v>
      </c>
      <c r="E268" s="64">
        <f t="shared" si="13"/>
        <v>-8.9116637289166079E-4</v>
      </c>
      <c r="F268" s="49">
        <v>3</v>
      </c>
      <c r="G268" s="65">
        <f t="shared" si="14"/>
        <v>0.10735851832049925</v>
      </c>
    </row>
    <row r="269" spans="1:7" ht="16">
      <c r="A269" s="44">
        <v>44707</v>
      </c>
      <c r="B269" s="49">
        <v>15664</v>
      </c>
      <c r="C269" s="50">
        <f t="shared" si="12"/>
        <v>1.7630940441144105E-2</v>
      </c>
      <c r="D269" s="49">
        <v>179.46</v>
      </c>
      <c r="E269" s="64">
        <f t="shared" si="13"/>
        <v>9.0418033833392641E-3</v>
      </c>
      <c r="F269" s="49">
        <v>3.34</v>
      </c>
      <c r="G269" s="65">
        <f t="shared" si="14"/>
        <v>4.3930929225726834E-2</v>
      </c>
    </row>
    <row r="270" spans="1:7" ht="16">
      <c r="A270" s="44">
        <v>44708</v>
      </c>
      <c r="B270" s="49">
        <v>15942.62</v>
      </c>
      <c r="C270" s="50">
        <f t="shared" si="12"/>
        <v>-7.2755247247435761E-3</v>
      </c>
      <c r="D270" s="49">
        <v>181.09</v>
      </c>
      <c r="E270" s="64">
        <f t="shared" si="13"/>
        <v>-8.6518203705132635E-3</v>
      </c>
      <c r="F270" s="49">
        <v>3.49</v>
      </c>
      <c r="G270" s="65">
        <f t="shared" si="14"/>
        <v>-1.4430264829028872E-2</v>
      </c>
    </row>
    <row r="271" spans="1:7" ht="16">
      <c r="A271" s="44">
        <v>44712</v>
      </c>
      <c r="B271" s="49">
        <v>15827.05</v>
      </c>
      <c r="C271" s="50">
        <f t="shared" si="12"/>
        <v>-7.4478744974300071E-3</v>
      </c>
      <c r="D271" s="49">
        <v>179.53</v>
      </c>
      <c r="E271" s="64">
        <f t="shared" si="13"/>
        <v>-1.0189316685343286E-2</v>
      </c>
      <c r="F271" s="49">
        <v>3.44</v>
      </c>
      <c r="G271" s="65">
        <f t="shared" si="14"/>
        <v>-4.7628048989254657E-2</v>
      </c>
    </row>
    <row r="272" spans="1:7" ht="16">
      <c r="A272" s="44">
        <v>44713</v>
      </c>
      <c r="B272" s="49">
        <v>15709.61</v>
      </c>
      <c r="C272" s="50">
        <f t="shared" si="12"/>
        <v>1.5846172483213294E-2</v>
      </c>
      <c r="D272" s="49">
        <v>177.71</v>
      </c>
      <c r="E272" s="64">
        <f t="shared" si="13"/>
        <v>-3.1561768859136308E-3</v>
      </c>
      <c r="F272" s="49">
        <v>3.28</v>
      </c>
      <c r="G272" s="65">
        <f t="shared" si="14"/>
        <v>3.5932009226063322E-2</v>
      </c>
    </row>
    <row r="273" spans="1:7" ht="16">
      <c r="A273" s="44">
        <v>44714</v>
      </c>
      <c r="B273" s="49">
        <v>15960.53</v>
      </c>
      <c r="C273" s="50">
        <f t="shared" si="12"/>
        <v>-1.0287989424282884E-2</v>
      </c>
      <c r="D273" s="49">
        <v>177.15</v>
      </c>
      <c r="E273" s="64">
        <f t="shared" si="13"/>
        <v>-4.1293154808599297E-3</v>
      </c>
      <c r="F273" s="49">
        <v>3.4</v>
      </c>
      <c r="G273" s="65">
        <f t="shared" si="14"/>
        <v>-4.2048236243499515E-2</v>
      </c>
    </row>
    <row r="274" spans="1:7" ht="16">
      <c r="A274" s="44">
        <v>44715</v>
      </c>
      <c r="B274" s="49">
        <v>15797.17</v>
      </c>
      <c r="C274" s="50">
        <f t="shared" si="12"/>
        <v>3.240893677196155E-3</v>
      </c>
      <c r="D274" s="49">
        <v>176.42</v>
      </c>
      <c r="E274" s="64">
        <f t="shared" si="13"/>
        <v>-1.1337225793006667E-4</v>
      </c>
      <c r="F274" s="49">
        <v>3.26</v>
      </c>
      <c r="G274" s="65">
        <f t="shared" si="14"/>
        <v>1.2195273093818404E-2</v>
      </c>
    </row>
    <row r="275" spans="1:7" ht="16">
      <c r="A275" s="44">
        <v>44718</v>
      </c>
      <c r="B275" s="49">
        <v>15848.45</v>
      </c>
      <c r="C275" s="50">
        <f t="shared" si="12"/>
        <v>1.073877185185701E-2</v>
      </c>
      <c r="D275" s="49">
        <v>176.4</v>
      </c>
      <c r="E275" s="64">
        <f t="shared" si="13"/>
        <v>1.0937697134042246E-2</v>
      </c>
      <c r="F275" s="49">
        <v>3.3</v>
      </c>
      <c r="G275" s="65">
        <f t="shared" si="14"/>
        <v>-2.1440331237869481E-2</v>
      </c>
    </row>
    <row r="276" spans="1:7" ht="16">
      <c r="A276" s="44">
        <v>44719</v>
      </c>
      <c r="B276" s="49">
        <v>16019.56</v>
      </c>
      <c r="C276" s="50">
        <f t="shared" si="12"/>
        <v>-1.1030325506736105E-2</v>
      </c>
      <c r="D276" s="49">
        <v>178.34</v>
      </c>
      <c r="E276" s="64">
        <f t="shared" si="13"/>
        <v>-5.9614371478140527E-3</v>
      </c>
      <c r="F276" s="49">
        <v>3.23</v>
      </c>
      <c r="G276" s="65">
        <f t="shared" si="14"/>
        <v>2.1440331237869481E-2</v>
      </c>
    </row>
    <row r="277" spans="1:7" ht="16">
      <c r="A277" s="44">
        <v>44720</v>
      </c>
      <c r="B277" s="49">
        <v>15843.83</v>
      </c>
      <c r="C277" s="50">
        <f t="shared" si="12"/>
        <v>-2.371848069219773E-2</v>
      </c>
      <c r="D277" s="49">
        <v>177.28</v>
      </c>
      <c r="E277" s="64">
        <f t="shared" si="13"/>
        <v>-2.0343161445087077E-2</v>
      </c>
      <c r="F277" s="49">
        <v>3.3</v>
      </c>
      <c r="G277" s="65">
        <f t="shared" si="14"/>
        <v>-9.8649081069839495E-2</v>
      </c>
    </row>
    <row r="278" spans="1:7" ht="16">
      <c r="A278" s="44">
        <v>44721</v>
      </c>
      <c r="B278" s="49">
        <v>15472.46</v>
      </c>
      <c r="C278" s="50">
        <f t="shared" si="12"/>
        <v>-2.4586154902301871E-2</v>
      </c>
      <c r="D278" s="49">
        <v>173.71</v>
      </c>
      <c r="E278" s="64">
        <f t="shared" si="13"/>
        <v>-6.70019256981913E-3</v>
      </c>
      <c r="F278" s="49">
        <v>2.99</v>
      </c>
      <c r="G278" s="65">
        <f t="shared" si="14"/>
        <v>-3.7483093254740529E-2</v>
      </c>
    </row>
    <row r="279" spans="1:7" ht="16">
      <c r="A279" s="44">
        <v>44722</v>
      </c>
      <c r="B279" s="49">
        <v>15096.69</v>
      </c>
      <c r="C279" s="50">
        <f t="shared" si="12"/>
        <v>-3.8404575918537631E-2</v>
      </c>
      <c r="D279" s="49">
        <v>172.55</v>
      </c>
      <c r="E279" s="64">
        <f t="shared" si="13"/>
        <v>-1.0135221894043589E-2</v>
      </c>
      <c r="F279" s="49">
        <v>2.88</v>
      </c>
      <c r="G279" s="65">
        <f t="shared" si="14"/>
        <v>-6.8249100534106821E-2</v>
      </c>
    </row>
    <row r="280" spans="1:7" ht="16">
      <c r="A280" s="44">
        <v>44725</v>
      </c>
      <c r="B280" s="49">
        <v>14527.9</v>
      </c>
      <c r="C280" s="50">
        <f t="shared" si="12"/>
        <v>-5.7475270860791738E-3</v>
      </c>
      <c r="D280" s="49">
        <v>170.81</v>
      </c>
      <c r="E280" s="64">
        <f t="shared" si="13"/>
        <v>-1.545753491062829E-2</v>
      </c>
      <c r="F280" s="49">
        <v>2.69</v>
      </c>
      <c r="G280" s="65">
        <f t="shared" si="14"/>
        <v>-7.4627212015895283E-3</v>
      </c>
    </row>
    <row r="281" spans="1:7" ht="16">
      <c r="A281" s="44">
        <v>44726</v>
      </c>
      <c r="B281" s="49">
        <v>14444.64</v>
      </c>
      <c r="C281" s="50">
        <f t="shared" si="12"/>
        <v>1.0371351514166349E-2</v>
      </c>
      <c r="D281" s="49">
        <v>168.19</v>
      </c>
      <c r="E281" s="64">
        <f t="shared" si="13"/>
        <v>1.0645319051337587E-2</v>
      </c>
      <c r="F281" s="49">
        <v>2.67</v>
      </c>
      <c r="G281" s="65">
        <f t="shared" si="14"/>
        <v>1.4870162479451388E-2</v>
      </c>
    </row>
    <row r="282" spans="1:7" ht="16">
      <c r="A282" s="44">
        <v>44727</v>
      </c>
      <c r="B282" s="49">
        <v>14595.23</v>
      </c>
      <c r="C282" s="50">
        <f t="shared" si="12"/>
        <v>-3.1532234753937516E-2</v>
      </c>
      <c r="D282" s="49">
        <v>169.99</v>
      </c>
      <c r="E282" s="64">
        <f t="shared" si="13"/>
        <v>5.2930280295893084E-4</v>
      </c>
      <c r="F282" s="49">
        <v>2.71</v>
      </c>
      <c r="G282" s="65">
        <f t="shared" si="14"/>
        <v>-5.694137640013841E-2</v>
      </c>
    </row>
    <row r="283" spans="1:7" ht="16">
      <c r="A283" s="44">
        <v>44728</v>
      </c>
      <c r="B283" s="49">
        <v>14142.19</v>
      </c>
      <c r="C283" s="50">
        <f t="shared" si="12"/>
        <v>-3.1969726130469667E-3</v>
      </c>
      <c r="D283" s="49">
        <v>170.08</v>
      </c>
      <c r="E283" s="64">
        <f t="shared" si="13"/>
        <v>-3.6520038233192054E-3</v>
      </c>
      <c r="F283" s="49">
        <v>2.56</v>
      </c>
      <c r="G283" s="65">
        <f t="shared" si="14"/>
        <v>3.8318864302136602E-2</v>
      </c>
    </row>
    <row r="284" spans="1:7" ht="16">
      <c r="A284" s="44">
        <v>44729</v>
      </c>
      <c r="B284" s="49">
        <v>14097.05</v>
      </c>
      <c r="C284" s="50">
        <f t="shared" si="12"/>
        <v>2.225174496404847E-2</v>
      </c>
      <c r="D284" s="49">
        <v>169.46</v>
      </c>
      <c r="E284" s="64">
        <f t="shared" si="13"/>
        <v>2.073248552511231E-2</v>
      </c>
      <c r="F284" s="49">
        <v>2.66</v>
      </c>
      <c r="G284" s="65">
        <f t="shared" si="14"/>
        <v>2.5975486403260639E-2</v>
      </c>
    </row>
    <row r="285" spans="1:7" ht="16">
      <c r="A285" s="44">
        <v>44733</v>
      </c>
      <c r="B285" s="49">
        <v>14414.25</v>
      </c>
      <c r="C285" s="50">
        <f t="shared" si="12"/>
        <v>-4.2736489347490192E-3</v>
      </c>
      <c r="D285" s="49">
        <v>173.01</v>
      </c>
      <c r="E285" s="64">
        <f t="shared" si="13"/>
        <v>1.5656233772266326E-2</v>
      </c>
      <c r="F285" s="49">
        <v>2.73</v>
      </c>
      <c r="G285" s="65">
        <f t="shared" si="14"/>
        <v>2.8882874148786097E-2</v>
      </c>
    </row>
    <row r="286" spans="1:7" ht="16">
      <c r="A286" s="44">
        <v>44734</v>
      </c>
      <c r="B286" s="49">
        <v>14352.78</v>
      </c>
      <c r="C286" s="50">
        <f t="shared" si="12"/>
        <v>3.4317663023113454E-3</v>
      </c>
      <c r="D286" s="49">
        <v>175.74</v>
      </c>
      <c r="E286" s="64">
        <f t="shared" si="13"/>
        <v>2.2060545733363135E-2</v>
      </c>
      <c r="F286" s="49">
        <v>2.81</v>
      </c>
      <c r="G286" s="65">
        <f t="shared" si="14"/>
        <v>8.5230432618634833E-2</v>
      </c>
    </row>
    <row r="287" spans="1:7" ht="16">
      <c r="A287" s="44">
        <v>44735</v>
      </c>
      <c r="B287" s="49">
        <v>14402.12</v>
      </c>
      <c r="C287" s="50">
        <f t="shared" si="12"/>
        <v>2.8031863849465211E-2</v>
      </c>
      <c r="D287" s="49">
        <v>179.66</v>
      </c>
      <c r="E287" s="64">
        <f t="shared" si="13"/>
        <v>1.4532649743769888E-2</v>
      </c>
      <c r="F287" s="49">
        <v>3.06</v>
      </c>
      <c r="G287" s="65">
        <f t="shared" si="14"/>
        <v>9.0545429872685768E-2</v>
      </c>
    </row>
    <row r="288" spans="1:7" ht="16">
      <c r="A288" s="44">
        <v>44736</v>
      </c>
      <c r="B288" s="49">
        <v>14811.55</v>
      </c>
      <c r="C288" s="50">
        <f t="shared" si="12"/>
        <v>1.6021941677166751E-3</v>
      </c>
      <c r="D288" s="49">
        <v>182.29</v>
      </c>
      <c r="E288" s="64">
        <f t="shared" si="13"/>
        <v>-9.3301507824872232E-4</v>
      </c>
      <c r="F288" s="49">
        <v>3.35</v>
      </c>
      <c r="G288" s="65">
        <f t="shared" si="14"/>
        <v>-5.2079149044889528E-2</v>
      </c>
    </row>
    <row r="289" spans="1:7" ht="16">
      <c r="A289" s="44">
        <v>44739</v>
      </c>
      <c r="B289" s="49">
        <v>14835.3</v>
      </c>
      <c r="C289" s="50">
        <f t="shared" si="12"/>
        <v>-1.1387586272652683E-2</v>
      </c>
      <c r="D289" s="49">
        <v>182.12</v>
      </c>
      <c r="E289" s="64">
        <f t="shared" si="13"/>
        <v>-2.8855118411341252E-2</v>
      </c>
      <c r="F289" s="49">
        <v>3.18</v>
      </c>
      <c r="G289" s="65">
        <f t="shared" si="14"/>
        <v>-6.4957896274772553E-2</v>
      </c>
    </row>
    <row r="290" spans="1:7" ht="16">
      <c r="A290" s="44">
        <v>44740</v>
      </c>
      <c r="B290" s="49">
        <v>14667.32</v>
      </c>
      <c r="C290" s="50">
        <f t="shared" si="12"/>
        <v>-4.628443584380193E-3</v>
      </c>
      <c r="D290" s="49">
        <v>176.94</v>
      </c>
      <c r="E290" s="64">
        <f t="shared" si="13"/>
        <v>2.8254174742237126E-4</v>
      </c>
      <c r="F290" s="49">
        <v>2.98</v>
      </c>
      <c r="G290" s="65">
        <f t="shared" si="14"/>
        <v>-1.6920877488336927E-2</v>
      </c>
    </row>
    <row r="291" spans="1:7" ht="16">
      <c r="A291" s="44">
        <v>44741</v>
      </c>
      <c r="B291" s="49">
        <v>14599.59</v>
      </c>
      <c r="C291" s="50">
        <f t="shared" si="12"/>
        <v>-7.6975740060003517E-3</v>
      </c>
      <c r="D291" s="49">
        <v>176.99</v>
      </c>
      <c r="E291" s="64">
        <f t="shared" si="13"/>
        <v>2.9337115540499781E-3</v>
      </c>
      <c r="F291" s="49">
        <v>2.93</v>
      </c>
      <c r="G291" s="65">
        <f t="shared" si="14"/>
        <v>-3.4188067487856966E-3</v>
      </c>
    </row>
    <row r="292" spans="1:7" ht="16">
      <c r="A292" s="44">
        <v>44742</v>
      </c>
      <c r="B292" s="49">
        <v>14487.64</v>
      </c>
      <c r="C292" s="50">
        <f t="shared" si="12"/>
        <v>1.0240300442559302E-2</v>
      </c>
      <c r="D292" s="49">
        <v>177.51</v>
      </c>
      <c r="E292" s="64">
        <f t="shared" si="13"/>
        <v>1.125967697761876E-2</v>
      </c>
      <c r="F292" s="49">
        <v>2.92</v>
      </c>
      <c r="G292" s="65">
        <f t="shared" si="14"/>
        <v>4.355797433912989E-2</v>
      </c>
    </row>
    <row r="293" spans="1:7" ht="16">
      <c r="A293" s="44">
        <v>44743</v>
      </c>
      <c r="B293" s="49">
        <v>14636.76</v>
      </c>
      <c r="C293" s="50">
        <f t="shared" si="12"/>
        <v>-9.4226961705849988E-3</v>
      </c>
      <c r="D293" s="49">
        <v>179.52</v>
      </c>
      <c r="E293" s="64">
        <f t="shared" si="13"/>
        <v>-7.7168643306073648E-3</v>
      </c>
      <c r="F293" s="49">
        <v>3.05</v>
      </c>
      <c r="G293" s="65">
        <f t="shared" si="14"/>
        <v>7.574597415796025E-2</v>
      </c>
    </row>
    <row r="294" spans="1:7" ht="16">
      <c r="A294" s="44">
        <v>44747</v>
      </c>
      <c r="B294" s="49">
        <v>14499.49</v>
      </c>
      <c r="C294" s="50">
        <f t="shared" si="12"/>
        <v>-2.3614897743673424E-3</v>
      </c>
      <c r="D294" s="49">
        <v>178.14</v>
      </c>
      <c r="E294" s="64">
        <f t="shared" si="13"/>
        <v>8.977668653713522E-4</v>
      </c>
      <c r="F294" s="49">
        <v>3.29</v>
      </c>
      <c r="G294" s="65">
        <f t="shared" si="14"/>
        <v>-1.5314234973042407E-2</v>
      </c>
    </row>
    <row r="295" spans="1:7" ht="16">
      <c r="A295" s="44">
        <v>44748</v>
      </c>
      <c r="B295" s="49">
        <v>14465.29</v>
      </c>
      <c r="C295" s="50">
        <f t="shared" si="12"/>
        <v>1.4495588521560521E-2</v>
      </c>
      <c r="D295" s="49">
        <v>178.3</v>
      </c>
      <c r="E295" s="64">
        <f t="shared" si="13"/>
        <v>1.1210763505982158E-3</v>
      </c>
      <c r="F295" s="49">
        <v>3.24</v>
      </c>
      <c r="G295" s="65">
        <f t="shared" si="14"/>
        <v>2.7398974188114433E-2</v>
      </c>
    </row>
    <row r="296" spans="1:7" ht="16">
      <c r="A296" s="44">
        <v>44749</v>
      </c>
      <c r="B296" s="49">
        <v>14676.5</v>
      </c>
      <c r="C296" s="50">
        <f t="shared" si="12"/>
        <v>-2.3309262662305485E-3</v>
      </c>
      <c r="D296" s="49">
        <v>178.5</v>
      </c>
      <c r="E296" s="64">
        <f t="shared" si="13"/>
        <v>-1.2332531413381531E-3</v>
      </c>
      <c r="F296" s="49">
        <v>3.33</v>
      </c>
      <c r="G296" s="65">
        <f t="shared" si="14"/>
        <v>-1.5128881596300214E-2</v>
      </c>
    </row>
    <row r="297" spans="1:7" ht="16">
      <c r="A297" s="44">
        <v>44750</v>
      </c>
      <c r="B297" s="49">
        <v>14642.33</v>
      </c>
      <c r="C297" s="50">
        <f t="shared" si="12"/>
        <v>-9.6004272827094894E-3</v>
      </c>
      <c r="D297" s="49">
        <v>178.28</v>
      </c>
      <c r="E297" s="64">
        <f t="shared" si="13"/>
        <v>3.925637265451698E-4</v>
      </c>
      <c r="F297" s="49">
        <v>3.28</v>
      </c>
      <c r="G297" s="65">
        <f t="shared" si="14"/>
        <v>-6.2913825410569224E-2</v>
      </c>
    </row>
    <row r="298" spans="1:7" ht="16">
      <c r="A298" s="44">
        <v>44753</v>
      </c>
      <c r="B298" s="49">
        <v>14502.43</v>
      </c>
      <c r="C298" s="50">
        <f t="shared" si="12"/>
        <v>-7.4325187895283307E-3</v>
      </c>
      <c r="D298" s="49">
        <v>178.35</v>
      </c>
      <c r="E298" s="64">
        <f t="shared" si="13"/>
        <v>-1.4116552884908984E-2</v>
      </c>
      <c r="F298" s="49">
        <v>3.08</v>
      </c>
      <c r="G298" s="65">
        <f t="shared" si="14"/>
        <v>5.3725399356163051E-2</v>
      </c>
    </row>
    <row r="299" spans="1:7" ht="16">
      <c r="A299" s="44">
        <v>44754</v>
      </c>
      <c r="B299" s="49">
        <v>14395.04</v>
      </c>
      <c r="C299" s="50">
        <f t="shared" si="12"/>
        <v>-3.8113420200964754E-3</v>
      </c>
      <c r="D299" s="49">
        <v>175.85</v>
      </c>
      <c r="E299" s="64">
        <f t="shared" si="13"/>
        <v>-2.3342548103588712E-3</v>
      </c>
      <c r="F299" s="49">
        <v>3.25</v>
      </c>
      <c r="G299" s="65">
        <f t="shared" si="14"/>
        <v>4.8057294953779195E-2</v>
      </c>
    </row>
    <row r="300" spans="1:7" ht="16">
      <c r="A300" s="44">
        <v>44755</v>
      </c>
      <c r="B300" s="49">
        <v>14340.28</v>
      </c>
      <c r="C300" s="50">
        <f t="shared" si="12"/>
        <v>-1.1857802087430258E-2</v>
      </c>
      <c r="D300" s="49">
        <v>175.44</v>
      </c>
      <c r="E300" s="64">
        <f t="shared" si="13"/>
        <v>1.3670542115331585E-3</v>
      </c>
      <c r="F300" s="49">
        <v>3.41</v>
      </c>
      <c r="G300" s="65">
        <f t="shared" si="14"/>
        <v>-5.8823699030663423E-3</v>
      </c>
    </row>
    <row r="301" spans="1:7" ht="16">
      <c r="A301" s="44">
        <v>44756</v>
      </c>
      <c r="B301" s="49">
        <v>14171.24</v>
      </c>
      <c r="C301" s="50">
        <f t="shared" si="12"/>
        <v>1.9457710289140451E-2</v>
      </c>
      <c r="D301" s="49">
        <v>175.68</v>
      </c>
      <c r="E301" s="64">
        <f t="shared" si="13"/>
        <v>1.4410692714593942E-2</v>
      </c>
      <c r="F301" s="49">
        <v>3.39</v>
      </c>
      <c r="G301" s="65">
        <f t="shared" si="14"/>
        <v>-2.9942356615078491E-2</v>
      </c>
    </row>
    <row r="302" spans="1:7" ht="16">
      <c r="A302" s="44">
        <v>44757</v>
      </c>
      <c r="B302" s="49">
        <v>14449.68</v>
      </c>
      <c r="C302" s="50">
        <f t="shared" si="12"/>
        <v>-3.2232534493132903E-3</v>
      </c>
      <c r="D302" s="49">
        <v>178.23</v>
      </c>
      <c r="E302" s="64">
        <f t="shared" si="13"/>
        <v>-2.269858560094562E-2</v>
      </c>
      <c r="F302" s="49">
        <v>3.29</v>
      </c>
      <c r="G302" s="65">
        <f t="shared" si="14"/>
        <v>-2.1506205220963581E-2</v>
      </c>
    </row>
    <row r="303" spans="1:7" ht="16">
      <c r="A303" s="44">
        <v>44760</v>
      </c>
      <c r="B303" s="49">
        <v>14403.18</v>
      </c>
      <c r="C303" s="50">
        <f t="shared" si="12"/>
        <v>2.4918858164905799E-2</v>
      </c>
      <c r="D303" s="49">
        <v>174.23</v>
      </c>
      <c r="E303" s="64">
        <f t="shared" si="13"/>
        <v>-1.4685740345693254E-2</v>
      </c>
      <c r="F303" s="49">
        <v>3.22</v>
      </c>
      <c r="G303" s="65">
        <f t="shared" si="14"/>
        <v>0.15769364190360236</v>
      </c>
    </row>
    <row r="304" spans="1:7" ht="16">
      <c r="A304" s="44">
        <v>44761</v>
      </c>
      <c r="B304" s="49">
        <v>14766.6</v>
      </c>
      <c r="C304" s="50">
        <f t="shared" si="12"/>
        <v>8.0351819363677635E-4</v>
      </c>
      <c r="D304" s="49">
        <v>171.69</v>
      </c>
      <c r="E304" s="64">
        <f t="shared" si="13"/>
        <v>-5.7243146964589542E-3</v>
      </c>
      <c r="F304" s="49">
        <v>3.77</v>
      </c>
      <c r="G304" s="65">
        <f t="shared" si="14"/>
        <v>2.3592182016820118E-2</v>
      </c>
    </row>
    <row r="305" spans="1:7" ht="16">
      <c r="A305" s="44">
        <v>44762</v>
      </c>
      <c r="B305" s="49">
        <v>14778.47</v>
      </c>
      <c r="C305" s="50">
        <f t="shared" si="12"/>
        <v>6.2503576211430101E-3</v>
      </c>
      <c r="D305" s="49">
        <v>170.71</v>
      </c>
      <c r="E305" s="64">
        <f t="shared" si="13"/>
        <v>3.5085703497053089E-3</v>
      </c>
      <c r="F305" s="49">
        <v>3.86</v>
      </c>
      <c r="G305" s="65">
        <f t="shared" si="14"/>
        <v>3.3124047425032721E-2</v>
      </c>
    </row>
    <row r="306" spans="1:7" ht="16">
      <c r="A306" s="44">
        <v>44763</v>
      </c>
      <c r="B306" s="49">
        <v>14871.13</v>
      </c>
      <c r="C306" s="50">
        <f t="shared" si="12"/>
        <v>-5.4170597494405115E-3</v>
      </c>
      <c r="D306" s="49">
        <v>171.31</v>
      </c>
      <c r="E306" s="64">
        <f t="shared" si="13"/>
        <v>4.7171272280319698E-3</v>
      </c>
      <c r="F306" s="49">
        <v>3.99</v>
      </c>
      <c r="G306" s="65">
        <f t="shared" si="14"/>
        <v>-7.5458411251593249E-2</v>
      </c>
    </row>
    <row r="307" spans="1:7" ht="16">
      <c r="A307" s="44">
        <v>44764</v>
      </c>
      <c r="B307" s="49">
        <v>14790.79</v>
      </c>
      <c r="C307" s="50">
        <f t="shared" si="12"/>
        <v>7.2954474953856874E-3</v>
      </c>
      <c r="D307" s="49">
        <v>172.12</v>
      </c>
      <c r="E307" s="64">
        <f t="shared" si="13"/>
        <v>1.9734175537795551E-3</v>
      </c>
      <c r="F307" s="49">
        <v>3.7</v>
      </c>
      <c r="G307" s="65">
        <f t="shared" si="14"/>
        <v>-1.3605652055778794E-2</v>
      </c>
    </row>
    <row r="308" spans="1:7" ht="16">
      <c r="A308" s="44">
        <v>44767</v>
      </c>
      <c r="B308" s="49">
        <v>14899.09</v>
      </c>
      <c r="C308" s="50">
        <f t="shared" si="12"/>
        <v>-7.1088622947019786E-3</v>
      </c>
      <c r="D308" s="49">
        <v>172.46</v>
      </c>
      <c r="E308" s="64">
        <f t="shared" si="13"/>
        <v>7.0492000458575177E-3</v>
      </c>
      <c r="F308" s="49">
        <v>3.65</v>
      </c>
      <c r="G308" s="65">
        <f t="shared" si="14"/>
        <v>-0.13157635778871923</v>
      </c>
    </row>
    <row r="309" spans="1:7" ht="16">
      <c r="A309" s="44">
        <v>44768</v>
      </c>
      <c r="B309" s="49">
        <v>14793.55</v>
      </c>
      <c r="C309" s="50">
        <f t="shared" si="12"/>
        <v>1.5926121348343258E-2</v>
      </c>
      <c r="D309" s="49">
        <v>173.68</v>
      </c>
      <c r="E309" s="64">
        <f t="shared" si="13"/>
        <v>-2.767529441701555E-3</v>
      </c>
      <c r="F309" s="49">
        <v>3.2</v>
      </c>
      <c r="G309" s="65">
        <f t="shared" si="14"/>
        <v>2.7736754971599664E-2</v>
      </c>
    </row>
    <row r="310" spans="1:7" ht="16">
      <c r="A310" s="44">
        <v>44769</v>
      </c>
      <c r="B310" s="49">
        <v>15031.04</v>
      </c>
      <c r="C310" s="50">
        <f t="shared" si="12"/>
        <v>1.109973899929706E-2</v>
      </c>
      <c r="D310" s="49">
        <v>173.2</v>
      </c>
      <c r="E310" s="64">
        <f t="shared" si="13"/>
        <v>5.7570682900678349E-3</v>
      </c>
      <c r="F310" s="49">
        <v>3.29</v>
      </c>
      <c r="G310" s="65">
        <f t="shared" si="14"/>
        <v>1.8072781059694565E-2</v>
      </c>
    </row>
    <row r="311" spans="1:7" ht="16">
      <c r="A311" s="44">
        <v>44770</v>
      </c>
      <c r="B311" s="49">
        <v>15198.81</v>
      </c>
      <c r="C311" s="50">
        <f t="shared" si="12"/>
        <v>8.4451661115423349E-3</v>
      </c>
      <c r="D311" s="49">
        <v>174.2</v>
      </c>
      <c r="E311" s="64">
        <f t="shared" si="13"/>
        <v>1.8352838370061519E-3</v>
      </c>
      <c r="F311" s="49">
        <v>3.35</v>
      </c>
      <c r="G311" s="65">
        <f t="shared" si="14"/>
        <v>-2.9895388483660579E-3</v>
      </c>
    </row>
    <row r="312" spans="1:7" ht="16">
      <c r="A312" s="44">
        <v>44771</v>
      </c>
      <c r="B312" s="49">
        <v>15327.71</v>
      </c>
      <c r="C312" s="50">
        <f t="shared" si="12"/>
        <v>-2.7242704114502914E-3</v>
      </c>
      <c r="D312" s="49">
        <v>174.52</v>
      </c>
      <c r="E312" s="64">
        <f t="shared" si="13"/>
        <v>-3.5014242356572467E-3</v>
      </c>
      <c r="F312" s="49">
        <v>3.34</v>
      </c>
      <c r="G312" s="65">
        <f t="shared" si="14"/>
        <v>8.9419373756614018E-3</v>
      </c>
    </row>
    <row r="313" spans="1:7" ht="16">
      <c r="A313" s="44">
        <v>44774</v>
      </c>
      <c r="B313" s="49">
        <v>15286.01</v>
      </c>
      <c r="C313" s="50">
        <f t="shared" si="12"/>
        <v>-8.100885420914139E-3</v>
      </c>
      <c r="D313" s="49">
        <v>173.91</v>
      </c>
      <c r="E313" s="64">
        <f t="shared" si="13"/>
        <v>-5.7088642203204643E-3</v>
      </c>
      <c r="F313" s="49">
        <v>3.37</v>
      </c>
      <c r="G313" s="65">
        <f t="shared" si="14"/>
        <v>1.472780671024343E-2</v>
      </c>
    </row>
    <row r="314" spans="1:7" ht="16">
      <c r="A314" s="44">
        <v>44775</v>
      </c>
      <c r="B314" s="49">
        <v>15162.68</v>
      </c>
      <c r="C314" s="50">
        <f t="shared" si="12"/>
        <v>6.866970747466894E-3</v>
      </c>
      <c r="D314" s="49">
        <v>172.92</v>
      </c>
      <c r="E314" s="64">
        <f t="shared" si="13"/>
        <v>9.6113081972521996E-3</v>
      </c>
      <c r="F314" s="49">
        <v>3.42</v>
      </c>
      <c r="G314" s="65">
        <f t="shared" si="14"/>
        <v>3.7307052412810515E-2</v>
      </c>
    </row>
    <row r="315" spans="1:7" ht="16">
      <c r="A315" s="44">
        <v>44776</v>
      </c>
      <c r="B315" s="49">
        <v>15267.16</v>
      </c>
      <c r="C315" s="50">
        <f t="shared" si="12"/>
        <v>-2.8171924322411002E-3</v>
      </c>
      <c r="D315" s="49">
        <v>174.59</v>
      </c>
      <c r="E315" s="64">
        <f t="shared" si="13"/>
        <v>-1.6167567358328583E-2</v>
      </c>
      <c r="F315" s="49">
        <v>3.55</v>
      </c>
      <c r="G315" s="65">
        <f t="shared" si="14"/>
        <v>-1.9915309700941464E-2</v>
      </c>
    </row>
    <row r="316" spans="1:7" ht="16">
      <c r="A316" s="44">
        <v>44777</v>
      </c>
      <c r="B316" s="49">
        <v>15224.21</v>
      </c>
      <c r="C316" s="50">
        <f t="shared" si="12"/>
        <v>3.2146988216439354E-3</v>
      </c>
      <c r="D316" s="49">
        <v>171.79</v>
      </c>
      <c r="E316" s="64">
        <f t="shared" si="13"/>
        <v>-3.9661760944751379E-3</v>
      </c>
      <c r="F316" s="49">
        <v>3.48</v>
      </c>
      <c r="G316" s="65">
        <f t="shared" si="14"/>
        <v>2.8330506626226049E-2</v>
      </c>
    </row>
    <row r="317" spans="1:7" ht="16">
      <c r="A317" s="44">
        <v>44778</v>
      </c>
      <c r="B317" s="49">
        <v>15273.23</v>
      </c>
      <c r="C317" s="50">
        <f t="shared" si="12"/>
        <v>2.1302188013425649E-3</v>
      </c>
      <c r="D317" s="49">
        <v>171.11</v>
      </c>
      <c r="E317" s="64">
        <f t="shared" si="13"/>
        <v>-5.3324084046053599E-3</v>
      </c>
      <c r="F317" s="49">
        <v>3.58</v>
      </c>
      <c r="G317" s="65">
        <f t="shared" si="14"/>
        <v>0.1034032942864902</v>
      </c>
    </row>
    <row r="318" spans="1:7" ht="16">
      <c r="A318" s="44">
        <v>44781</v>
      </c>
      <c r="B318" s="49">
        <v>15305.8</v>
      </c>
      <c r="C318" s="50">
        <f t="shared" si="12"/>
        <v>-2.6829723993095911E-3</v>
      </c>
      <c r="D318" s="49">
        <v>170.2</v>
      </c>
      <c r="E318" s="64">
        <f t="shared" si="13"/>
        <v>-1.1751571786255965E-4</v>
      </c>
      <c r="F318" s="49">
        <v>3.97</v>
      </c>
      <c r="G318" s="65">
        <f t="shared" si="14"/>
        <v>-8.4038927104699068E-2</v>
      </c>
    </row>
    <row r="319" spans="1:7" ht="16">
      <c r="A319" s="44">
        <v>44782</v>
      </c>
      <c r="B319" s="49">
        <v>15264.79</v>
      </c>
      <c r="C319" s="50">
        <f t="shared" si="12"/>
        <v>1.8685387861369307E-2</v>
      </c>
      <c r="D319" s="49">
        <v>170.18</v>
      </c>
      <c r="E319" s="64">
        <f t="shared" si="13"/>
        <v>2.8751670092539428E-3</v>
      </c>
      <c r="F319" s="49">
        <v>3.65</v>
      </c>
      <c r="G319" s="65">
        <f t="shared" si="14"/>
        <v>4.8137635598154649E-2</v>
      </c>
    </row>
    <row r="320" spans="1:7" ht="16">
      <c r="A320" s="44">
        <v>44783</v>
      </c>
      <c r="B320" s="49">
        <v>15552.7</v>
      </c>
      <c r="C320" s="50">
        <f t="shared" si="12"/>
        <v>3.2244601390321037E-3</v>
      </c>
      <c r="D320" s="49">
        <v>170.67</v>
      </c>
      <c r="E320" s="64">
        <f t="shared" si="13"/>
        <v>-2.0900082857375324E-2</v>
      </c>
      <c r="F320" s="49">
        <v>3.83</v>
      </c>
      <c r="G320" s="65">
        <f t="shared" si="14"/>
        <v>2.6075634070807929E-3</v>
      </c>
    </row>
    <row r="321" spans="1:7" ht="16">
      <c r="A321" s="44">
        <v>44784</v>
      </c>
      <c r="B321" s="49">
        <v>15602.93</v>
      </c>
      <c r="C321" s="50">
        <f t="shared" si="12"/>
        <v>1.2829032409303665E-2</v>
      </c>
      <c r="D321" s="49">
        <v>167.14</v>
      </c>
      <c r="E321" s="64">
        <f t="shared" si="13"/>
        <v>-1.106977974631107E-2</v>
      </c>
      <c r="F321" s="49">
        <v>3.84</v>
      </c>
      <c r="G321" s="65">
        <f t="shared" si="14"/>
        <v>2.3167059281534286E-2</v>
      </c>
    </row>
    <row r="322" spans="1:7" ht="16">
      <c r="A322" s="44">
        <v>44785</v>
      </c>
      <c r="B322" s="49">
        <v>15804.39</v>
      </c>
      <c r="C322" s="50">
        <f t="shared" si="12"/>
        <v>-6.3673467405678252E-4</v>
      </c>
      <c r="D322" s="49">
        <v>165.3</v>
      </c>
      <c r="E322" s="64">
        <f t="shared" si="13"/>
        <v>4.7678052839286167E-3</v>
      </c>
      <c r="F322" s="49">
        <v>3.93</v>
      </c>
      <c r="G322" s="65">
        <f t="shared" si="14"/>
        <v>0.1106898012059101</v>
      </c>
    </row>
    <row r="323" spans="1:7" ht="16">
      <c r="A323" s="44">
        <v>44788</v>
      </c>
      <c r="B323" s="49">
        <v>15794.33</v>
      </c>
      <c r="C323" s="50">
        <f t="shared" si="12"/>
        <v>3.3159412858019266E-3</v>
      </c>
      <c r="D323" s="49">
        <v>166.09</v>
      </c>
      <c r="E323" s="64">
        <f t="shared" si="13"/>
        <v>8.87136430172486E-3</v>
      </c>
      <c r="F323" s="49">
        <v>4.3899999999999997</v>
      </c>
      <c r="G323" s="65">
        <f t="shared" si="14"/>
        <v>1.3574869091068864E-2</v>
      </c>
    </row>
    <row r="324" spans="1:7" ht="16">
      <c r="A324" s="44">
        <v>44789</v>
      </c>
      <c r="B324" s="49">
        <v>15846.79</v>
      </c>
      <c r="C324" s="50">
        <f t="shared" si="12"/>
        <v>-7.1359890414992577E-3</v>
      </c>
      <c r="D324" s="49">
        <v>167.57</v>
      </c>
      <c r="E324" s="64">
        <f t="shared" si="13"/>
        <v>5.9674772508344631E-5</v>
      </c>
      <c r="F324" s="49">
        <v>4.45</v>
      </c>
      <c r="G324" s="65">
        <f t="shared" si="14"/>
        <v>-3.8951086584443351E-2</v>
      </c>
    </row>
    <row r="325" spans="1:7" ht="16">
      <c r="A325" s="44">
        <v>44790</v>
      </c>
      <c r="B325" s="49">
        <v>15734.11</v>
      </c>
      <c r="C325" s="50">
        <f t="shared" ref="C325:C388" si="15">LN(B326)-LN(B325)</f>
        <v>1.8915486332158338E-3</v>
      </c>
      <c r="D325" s="49">
        <v>167.58</v>
      </c>
      <c r="E325" s="64">
        <f t="shared" ref="E325:E388" si="16">LN(D326)-LN(D325)</f>
        <v>-4.8452315516529509E-3</v>
      </c>
      <c r="F325" s="49">
        <v>4.28</v>
      </c>
      <c r="G325" s="65">
        <f t="shared" ref="G325:G388" si="17">LN(F326)-LN(F325)</f>
        <v>-3.567560262076408E-2</v>
      </c>
    </row>
    <row r="326" spans="1:7" ht="16">
      <c r="A326" s="44">
        <v>44791</v>
      </c>
      <c r="B326" s="49">
        <v>15763.9</v>
      </c>
      <c r="C326" s="50">
        <f t="shared" si="15"/>
        <v>-1.1200599867507322E-2</v>
      </c>
      <c r="D326" s="49">
        <v>166.77</v>
      </c>
      <c r="E326" s="64">
        <f t="shared" si="16"/>
        <v>1.5115736506652766E-2</v>
      </c>
      <c r="F326" s="49">
        <v>4.13</v>
      </c>
      <c r="G326" s="65">
        <f t="shared" si="17"/>
        <v>-5.4740032975666875E-2</v>
      </c>
    </row>
    <row r="327" spans="1:7" ht="16">
      <c r="A327" s="44">
        <v>44792</v>
      </c>
      <c r="B327" s="49">
        <v>15588.32</v>
      </c>
      <c r="C327" s="50">
        <f t="shared" si="15"/>
        <v>-1.5937527470716972E-2</v>
      </c>
      <c r="D327" s="49">
        <v>169.31</v>
      </c>
      <c r="E327" s="64">
        <f t="shared" si="16"/>
        <v>-1.0210833743358627E-2</v>
      </c>
      <c r="F327" s="49">
        <v>3.91</v>
      </c>
      <c r="G327" s="65">
        <f t="shared" si="17"/>
        <v>-5.791091594483877E-2</v>
      </c>
    </row>
    <row r="328" spans="1:7" ht="16">
      <c r="A328" s="44">
        <v>44795</v>
      </c>
      <c r="B328" s="49">
        <v>15341.85</v>
      </c>
      <c r="C328" s="50">
        <f t="shared" si="15"/>
        <v>-2.411994796567285E-4</v>
      </c>
      <c r="D328" s="49">
        <v>167.59</v>
      </c>
      <c r="E328" s="64">
        <f t="shared" si="16"/>
        <v>-8.749905998394425E-3</v>
      </c>
      <c r="F328" s="49">
        <v>3.69</v>
      </c>
      <c r="G328" s="65">
        <f t="shared" si="17"/>
        <v>-1.9152432214756043E-2</v>
      </c>
    </row>
    <row r="329" spans="1:7" ht="16">
      <c r="A329" s="44">
        <v>44796</v>
      </c>
      <c r="B329" s="49">
        <v>15338.15</v>
      </c>
      <c r="C329" s="50">
        <f t="shared" si="15"/>
        <v>3.5086031175186605E-3</v>
      </c>
      <c r="D329" s="49">
        <v>166.13</v>
      </c>
      <c r="E329" s="64">
        <f t="shared" si="16"/>
        <v>-3.3161526877272252E-3</v>
      </c>
      <c r="F329" s="49">
        <v>3.62</v>
      </c>
      <c r="G329" s="65">
        <f t="shared" si="17"/>
        <v>-2.7662534928900584E-3</v>
      </c>
    </row>
    <row r="330" spans="1:7" ht="16">
      <c r="A330" s="44">
        <v>44797</v>
      </c>
      <c r="B330" s="49">
        <v>15392.06</v>
      </c>
      <c r="C330" s="50">
        <f t="shared" si="15"/>
        <v>1.3113947444630014E-2</v>
      </c>
      <c r="D330" s="49">
        <v>165.58</v>
      </c>
      <c r="E330" s="64">
        <f t="shared" si="16"/>
        <v>9.317490990173205E-3</v>
      </c>
      <c r="F330" s="49">
        <v>3.61</v>
      </c>
      <c r="G330" s="65">
        <f t="shared" si="17"/>
        <v>4.6016237286706563E-2</v>
      </c>
    </row>
    <row r="331" spans="1:7" ht="16">
      <c r="A331" s="44">
        <v>44798</v>
      </c>
      <c r="B331" s="49">
        <v>15595.24</v>
      </c>
      <c r="C331" s="50">
        <f t="shared" si="15"/>
        <v>-2.7104892788278434E-2</v>
      </c>
      <c r="D331" s="49">
        <v>167.13</v>
      </c>
      <c r="E331" s="64">
        <f t="shared" si="16"/>
        <v>-1.7260537147724797E-2</v>
      </c>
      <c r="F331" s="49">
        <v>3.78</v>
      </c>
      <c r="G331" s="65">
        <f t="shared" si="17"/>
        <v>-4.3249983793816504E-2</v>
      </c>
    </row>
    <row r="332" spans="1:7" ht="16">
      <c r="A332" s="44">
        <v>44799</v>
      </c>
      <c r="B332" s="49">
        <v>15178.21</v>
      </c>
      <c r="C332" s="50">
        <f t="shared" si="15"/>
        <v>-3.9185370432459621E-3</v>
      </c>
      <c r="D332" s="49">
        <v>164.27</v>
      </c>
      <c r="E332" s="64">
        <f t="shared" si="16"/>
        <v>-7.7612147463463899E-3</v>
      </c>
      <c r="F332" s="49">
        <v>3.62</v>
      </c>
      <c r="G332" s="65">
        <f t="shared" si="17"/>
        <v>-2.8013036227674037E-2</v>
      </c>
    </row>
    <row r="333" spans="1:7" ht="16">
      <c r="A333" s="44">
        <v>44802</v>
      </c>
      <c r="B333" s="49">
        <v>15118.85</v>
      </c>
      <c r="C333" s="50">
        <f t="shared" si="15"/>
        <v>-1.2612565736780823E-2</v>
      </c>
      <c r="D333" s="49">
        <v>163</v>
      </c>
      <c r="E333" s="64">
        <f t="shared" si="16"/>
        <v>-3.5030610754578362E-3</v>
      </c>
      <c r="F333" s="49">
        <v>3.52</v>
      </c>
      <c r="G333" s="65">
        <f t="shared" si="17"/>
        <v>3.0771658666753687E-2</v>
      </c>
    </row>
    <row r="334" spans="1:7" ht="16">
      <c r="A334" s="44">
        <v>44803</v>
      </c>
      <c r="B334" s="49">
        <v>14929.36</v>
      </c>
      <c r="C334" s="50">
        <f t="shared" si="15"/>
        <v>-8.618782876787634E-3</v>
      </c>
      <c r="D334" s="49">
        <v>162.43</v>
      </c>
      <c r="E334" s="64">
        <f t="shared" si="16"/>
        <v>-6.7332002224764764E-3</v>
      </c>
      <c r="F334" s="49">
        <v>3.63</v>
      </c>
      <c r="G334" s="65">
        <f t="shared" si="17"/>
        <v>-5.5248759319697083E-3</v>
      </c>
    </row>
    <row r="335" spans="1:7" ht="16">
      <c r="A335" s="44">
        <v>44804</v>
      </c>
      <c r="B335" s="49">
        <v>14801.24</v>
      </c>
      <c r="C335" s="50">
        <f t="shared" si="15"/>
        <v>-1.9842336408260053E-3</v>
      </c>
      <c r="D335" s="49">
        <v>161.34</v>
      </c>
      <c r="E335" s="64">
        <f t="shared" si="16"/>
        <v>2.4490020315701244E-2</v>
      </c>
      <c r="F335" s="49">
        <v>3.61</v>
      </c>
      <c r="G335" s="65">
        <f t="shared" si="17"/>
        <v>-2.2409901399584209E-2</v>
      </c>
    </row>
    <row r="336" spans="1:7" ht="16">
      <c r="A336" s="44">
        <v>44805</v>
      </c>
      <c r="B336" s="49">
        <v>14771.9</v>
      </c>
      <c r="C336" s="50">
        <f t="shared" si="15"/>
        <v>-5.5937745565408648E-3</v>
      </c>
      <c r="D336" s="49">
        <v>165.34</v>
      </c>
      <c r="E336" s="64">
        <f t="shared" si="16"/>
        <v>-1.5850124556018308E-2</v>
      </c>
      <c r="F336" s="49">
        <v>3.53</v>
      </c>
      <c r="G336" s="65">
        <f t="shared" si="17"/>
        <v>-2.8368813351997701E-3</v>
      </c>
    </row>
    <row r="337" spans="1:7" ht="16">
      <c r="A337" s="44">
        <v>44806</v>
      </c>
      <c r="B337" s="49">
        <v>14689.5</v>
      </c>
      <c r="C337" s="50">
        <f t="shared" si="15"/>
        <v>-3.954847107719317E-3</v>
      </c>
      <c r="D337" s="49">
        <v>162.74</v>
      </c>
      <c r="E337" s="64">
        <f t="shared" si="16"/>
        <v>2.7000507321428557E-3</v>
      </c>
      <c r="F337" s="49">
        <v>3.52</v>
      </c>
      <c r="G337" s="65">
        <f t="shared" si="17"/>
        <v>7.1263020021490542E-2</v>
      </c>
    </row>
    <row r="338" spans="1:7" ht="16">
      <c r="A338" s="44">
        <v>44810</v>
      </c>
      <c r="B338" s="49">
        <v>14631.52</v>
      </c>
      <c r="C338" s="50">
        <f t="shared" si="15"/>
        <v>1.4456036075285894E-2</v>
      </c>
      <c r="D338" s="49">
        <v>163.18</v>
      </c>
      <c r="E338" s="64">
        <f t="shared" si="16"/>
        <v>5.4392800261373608E-3</v>
      </c>
      <c r="F338" s="49">
        <v>3.78</v>
      </c>
      <c r="G338" s="65">
        <f t="shared" si="17"/>
        <v>9.0971778205726661E-2</v>
      </c>
    </row>
    <row r="339" spans="1:7" ht="16">
      <c r="A339" s="44">
        <v>44811</v>
      </c>
      <c r="B339" s="49">
        <v>14844.57</v>
      </c>
      <c r="C339" s="50">
        <f t="shared" si="15"/>
        <v>7.864139241236856E-3</v>
      </c>
      <c r="D339" s="49">
        <v>164.07</v>
      </c>
      <c r="E339" s="64">
        <f t="shared" si="16"/>
        <v>8.0131552429110187E-3</v>
      </c>
      <c r="F339" s="49">
        <v>4.1399999999999997</v>
      </c>
      <c r="G339" s="65">
        <f t="shared" si="17"/>
        <v>-1.9512814223581643E-2</v>
      </c>
    </row>
    <row r="340" spans="1:7" ht="16">
      <c r="A340" s="44">
        <v>44812</v>
      </c>
      <c r="B340" s="49">
        <v>14961.77</v>
      </c>
      <c r="C340" s="50">
        <f t="shared" si="15"/>
        <v>1.5191042099626628E-2</v>
      </c>
      <c r="D340" s="49">
        <v>165.39</v>
      </c>
      <c r="E340" s="64">
        <f t="shared" si="16"/>
        <v>1.9329513719998914E-3</v>
      </c>
      <c r="F340" s="49">
        <v>4.0599999999999996</v>
      </c>
      <c r="G340" s="65">
        <f t="shared" si="17"/>
        <v>3.8652154434279273E-2</v>
      </c>
    </row>
    <row r="341" spans="1:7" ht="16">
      <c r="A341" s="44">
        <v>44813</v>
      </c>
      <c r="B341" s="49">
        <v>15190.79</v>
      </c>
      <c r="C341" s="50">
        <f t="shared" si="15"/>
        <v>1.0568160338108257E-2</v>
      </c>
      <c r="D341" s="49">
        <v>165.71</v>
      </c>
      <c r="E341" s="64">
        <f t="shared" si="16"/>
        <v>-4.2251396433545807E-4</v>
      </c>
      <c r="F341" s="49">
        <v>4.22</v>
      </c>
      <c r="G341" s="65">
        <f t="shared" si="17"/>
        <v>-5.3540766928029893E-2</v>
      </c>
    </row>
    <row r="342" spans="1:7" ht="16">
      <c r="A342" s="44">
        <v>44816</v>
      </c>
      <c r="B342" s="49">
        <v>15352.18</v>
      </c>
      <c r="C342" s="50">
        <f t="shared" si="15"/>
        <v>-3.5226558703371325E-2</v>
      </c>
      <c r="D342" s="49">
        <v>165.64</v>
      </c>
      <c r="E342" s="64">
        <f t="shared" si="16"/>
        <v>-2.6364801999314125E-2</v>
      </c>
      <c r="F342" s="49">
        <v>4</v>
      </c>
      <c r="G342" s="65">
        <f t="shared" si="17"/>
        <v>1.2422519998557258E-2</v>
      </c>
    </row>
    <row r="343" spans="1:7" ht="16">
      <c r="A343" s="44">
        <v>44817</v>
      </c>
      <c r="B343" s="49">
        <v>14820.79</v>
      </c>
      <c r="C343" s="50">
        <f t="shared" si="15"/>
        <v>1.5115968358276888E-3</v>
      </c>
      <c r="D343" s="49">
        <v>161.33000000000001</v>
      </c>
      <c r="E343" s="64">
        <f t="shared" si="16"/>
        <v>2.0430785192227852E-2</v>
      </c>
      <c r="F343" s="49">
        <v>4.05</v>
      </c>
      <c r="G343" s="65">
        <f t="shared" si="17"/>
        <v>1.2270092591814219E-2</v>
      </c>
    </row>
    <row r="344" spans="1:7" ht="16">
      <c r="A344" s="44">
        <v>44818</v>
      </c>
      <c r="B344" s="49">
        <v>14843.21</v>
      </c>
      <c r="C344" s="50">
        <f t="shared" si="15"/>
        <v>-8.1975102247699994E-3</v>
      </c>
      <c r="D344" s="49">
        <v>164.66</v>
      </c>
      <c r="E344" s="64">
        <f t="shared" si="16"/>
        <v>2.5474630141006926E-3</v>
      </c>
      <c r="F344" s="49">
        <v>4.0999999999999996</v>
      </c>
      <c r="G344" s="65">
        <f t="shared" si="17"/>
        <v>2.4360547978812264E-3</v>
      </c>
    </row>
    <row r="345" spans="1:7" ht="16">
      <c r="A345" s="44">
        <v>44819</v>
      </c>
      <c r="B345" s="49">
        <v>14722.03</v>
      </c>
      <c r="C345" s="50">
        <f t="shared" si="15"/>
        <v>-1.0112067552839221E-2</v>
      </c>
      <c r="D345" s="49">
        <v>165.08</v>
      </c>
      <c r="E345" s="64">
        <f t="shared" si="16"/>
        <v>1.5149983163601277E-2</v>
      </c>
      <c r="F345" s="49">
        <v>4.1100000000000003</v>
      </c>
      <c r="G345" s="65">
        <f t="shared" si="17"/>
        <v>-4.9885654510868793E-2</v>
      </c>
    </row>
    <row r="346" spans="1:7" ht="16">
      <c r="A346" s="44">
        <v>44820</v>
      </c>
      <c r="B346" s="49">
        <v>14573.91</v>
      </c>
      <c r="C346" s="50">
        <f t="shared" si="15"/>
        <v>6.8756239146399167E-3</v>
      </c>
      <c r="D346" s="49">
        <v>167.6</v>
      </c>
      <c r="E346" s="64">
        <f t="shared" si="16"/>
        <v>-7.9070736635458161E-3</v>
      </c>
      <c r="F346" s="49">
        <v>3.91</v>
      </c>
      <c r="G346" s="65">
        <f t="shared" si="17"/>
        <v>0</v>
      </c>
    </row>
    <row r="347" spans="1:7" ht="16">
      <c r="A347" s="44">
        <v>44823</v>
      </c>
      <c r="B347" s="49">
        <v>14674.46</v>
      </c>
      <c r="C347" s="50">
        <f t="shared" si="15"/>
        <v>-1.3704888186907738E-2</v>
      </c>
      <c r="D347" s="49">
        <v>166.28</v>
      </c>
      <c r="E347" s="64">
        <f t="shared" si="16"/>
        <v>-7.9094751966035659E-3</v>
      </c>
      <c r="F347" s="49">
        <v>3.91</v>
      </c>
      <c r="G347" s="65">
        <f t="shared" si="17"/>
        <v>-4.9813705712219214E-2</v>
      </c>
    </row>
    <row r="348" spans="1:7" ht="16">
      <c r="A348" s="44">
        <v>44824</v>
      </c>
      <c r="B348" s="49">
        <v>14474.72</v>
      </c>
      <c r="C348" s="50">
        <f t="shared" si="15"/>
        <v>-1.6586863731070878E-2</v>
      </c>
      <c r="D348" s="49">
        <v>164.97</v>
      </c>
      <c r="E348" s="64">
        <f t="shared" si="16"/>
        <v>-1.0297120686243666E-2</v>
      </c>
      <c r="F348" s="49">
        <v>3.72</v>
      </c>
      <c r="G348" s="65">
        <f t="shared" si="17"/>
        <v>2.9141134907499477E-2</v>
      </c>
    </row>
    <row r="349" spans="1:7" ht="16">
      <c r="A349" s="44">
        <v>44825</v>
      </c>
      <c r="B349" s="49">
        <v>14236.61</v>
      </c>
      <c r="C349" s="50">
        <f t="shared" si="15"/>
        <v>-8.466114362365218E-3</v>
      </c>
      <c r="D349" s="49">
        <v>163.28</v>
      </c>
      <c r="E349" s="64">
        <f t="shared" si="16"/>
        <v>1.7605019735245975E-2</v>
      </c>
      <c r="F349" s="49">
        <v>3.83</v>
      </c>
      <c r="G349" s="65">
        <f t="shared" si="17"/>
        <v>-3.1832926573210907E-2</v>
      </c>
    </row>
    <row r="350" spans="1:7" ht="16">
      <c r="A350" s="44">
        <v>44826</v>
      </c>
      <c r="B350" s="49">
        <v>14116.59</v>
      </c>
      <c r="C350" s="50">
        <f t="shared" si="15"/>
        <v>-2.2900249052113963E-2</v>
      </c>
      <c r="D350" s="49">
        <v>166.18</v>
      </c>
      <c r="E350" s="64">
        <f t="shared" si="16"/>
        <v>3.2442203281668469E-3</v>
      </c>
      <c r="F350" s="49">
        <v>3.71</v>
      </c>
      <c r="G350" s="65">
        <f t="shared" si="17"/>
        <v>-3.0098031157279603E-2</v>
      </c>
    </row>
    <row r="351" spans="1:7" ht="16">
      <c r="A351" s="44">
        <v>44827</v>
      </c>
      <c r="B351" s="49">
        <v>13796.99</v>
      </c>
      <c r="C351" s="50">
        <f t="shared" si="15"/>
        <v>-1.582361200823712E-2</v>
      </c>
      <c r="D351" s="49">
        <v>166.72</v>
      </c>
      <c r="E351" s="64">
        <f t="shared" si="16"/>
        <v>-6.1368341324845588E-3</v>
      </c>
      <c r="F351" s="49">
        <v>3.6</v>
      </c>
      <c r="G351" s="65">
        <f t="shared" si="17"/>
        <v>-2.7816429618767735E-3</v>
      </c>
    </row>
    <row r="352" spans="1:7" ht="16">
      <c r="A352" s="44">
        <v>44830</v>
      </c>
      <c r="B352" s="49">
        <v>13580.39</v>
      </c>
      <c r="C352" s="50">
        <f t="shared" si="15"/>
        <v>-2.8485961564204132E-3</v>
      </c>
      <c r="D352" s="49">
        <v>165.7</v>
      </c>
      <c r="E352" s="64">
        <f t="shared" si="16"/>
        <v>-4.5971530273085648E-3</v>
      </c>
      <c r="F352" s="49">
        <v>3.59</v>
      </c>
      <c r="G352" s="65">
        <f t="shared" si="17"/>
        <v>4.093340892625319E-2</v>
      </c>
    </row>
    <row r="353" spans="1:7" ht="16">
      <c r="A353" s="44">
        <v>44831</v>
      </c>
      <c r="B353" s="49">
        <v>13541.76</v>
      </c>
      <c r="C353" s="50">
        <f t="shared" si="15"/>
        <v>2.129180990402979E-2</v>
      </c>
      <c r="D353" s="49">
        <v>164.94</v>
      </c>
      <c r="E353" s="64">
        <f t="shared" si="16"/>
        <v>8.5723434695017531E-3</v>
      </c>
      <c r="F353" s="49">
        <v>3.74</v>
      </c>
      <c r="G353" s="65">
        <f t="shared" si="17"/>
        <v>1.0638398205055521E-2</v>
      </c>
    </row>
    <row r="354" spans="1:7" ht="16">
      <c r="A354" s="44">
        <v>44832</v>
      </c>
      <c r="B354" s="49">
        <v>13833.18</v>
      </c>
      <c r="C354" s="50">
        <f t="shared" si="15"/>
        <v>-1.6390888309743445E-2</v>
      </c>
      <c r="D354" s="49">
        <v>166.36</v>
      </c>
      <c r="E354" s="64">
        <f t="shared" si="16"/>
        <v>-1.106119047615195E-2</v>
      </c>
      <c r="F354" s="49">
        <v>3.78</v>
      </c>
      <c r="G354" s="65">
        <f t="shared" si="17"/>
        <v>-0.10594857800938051</v>
      </c>
    </row>
    <row r="355" spans="1:7" ht="16">
      <c r="A355" s="44">
        <v>44833</v>
      </c>
      <c r="B355" s="49">
        <v>13608.29</v>
      </c>
      <c r="C355" s="50">
        <f t="shared" si="15"/>
        <v>-1.0052347404174711E-2</v>
      </c>
      <c r="D355" s="49">
        <v>164.53</v>
      </c>
      <c r="E355" s="64">
        <f t="shared" si="16"/>
        <v>-7.1365699822036888E-3</v>
      </c>
      <c r="F355" s="49">
        <v>3.4</v>
      </c>
      <c r="G355" s="65">
        <f t="shared" si="17"/>
        <v>2.8987536873252395E-2</v>
      </c>
    </row>
    <row r="356" spans="1:7" ht="16">
      <c r="A356" s="44">
        <v>44834</v>
      </c>
      <c r="B356" s="49">
        <v>13472.18</v>
      </c>
      <c r="C356" s="50">
        <f t="shared" si="15"/>
        <v>2.8071325307861272E-2</v>
      </c>
      <c r="D356" s="49">
        <v>163.36000000000001</v>
      </c>
      <c r="E356" s="64">
        <f t="shared" si="16"/>
        <v>-9.7991188634871662E-4</v>
      </c>
      <c r="F356" s="49">
        <v>3.5</v>
      </c>
      <c r="G356" s="65">
        <f t="shared" si="17"/>
        <v>-5.7306747089851395E-3</v>
      </c>
    </row>
    <row r="357" spans="1:7" ht="16">
      <c r="A357" s="44">
        <v>44837</v>
      </c>
      <c r="B357" s="49">
        <v>13855.72</v>
      </c>
      <c r="C357" s="50">
        <f t="shared" si="15"/>
        <v>3.2923402609442931E-2</v>
      </c>
      <c r="D357" s="49">
        <v>163.19999999999999</v>
      </c>
      <c r="E357" s="64">
        <f t="shared" si="16"/>
        <v>1.4719565075547614E-2</v>
      </c>
      <c r="F357" s="49">
        <v>3.48</v>
      </c>
      <c r="G357" s="65">
        <f t="shared" si="17"/>
        <v>4.769487380801718E-2</v>
      </c>
    </row>
    <row r="358" spans="1:7" ht="16">
      <c r="A358" s="44">
        <v>44838</v>
      </c>
      <c r="B358" s="49">
        <v>14319.49</v>
      </c>
      <c r="C358" s="50">
        <f t="shared" si="15"/>
        <v>-4.0207852774525321E-3</v>
      </c>
      <c r="D358" s="49">
        <v>165.62</v>
      </c>
      <c r="E358" s="64">
        <f t="shared" si="16"/>
        <v>-3.0840891618124644E-3</v>
      </c>
      <c r="F358" s="49">
        <v>3.65</v>
      </c>
      <c r="G358" s="65">
        <f t="shared" si="17"/>
        <v>-1.3793322132335861E-2</v>
      </c>
    </row>
    <row r="359" spans="1:7" ht="16">
      <c r="A359" s="44">
        <v>44839</v>
      </c>
      <c r="B359" s="49">
        <v>14262.03</v>
      </c>
      <c r="C359" s="50">
        <f t="shared" si="15"/>
        <v>-1.2321399955965262E-2</v>
      </c>
      <c r="D359" s="49">
        <v>165.11</v>
      </c>
      <c r="E359" s="64">
        <f t="shared" si="16"/>
        <v>-1.9571293145080659E-2</v>
      </c>
      <c r="F359" s="49">
        <v>3.6</v>
      </c>
      <c r="G359" s="65">
        <f t="shared" si="17"/>
        <v>-2.5317807984289953E-2</v>
      </c>
    </row>
    <row r="360" spans="1:7" ht="16">
      <c r="A360" s="44">
        <v>44840</v>
      </c>
      <c r="B360" s="49">
        <v>14087.38</v>
      </c>
      <c r="C360" s="50">
        <f t="shared" si="15"/>
        <v>-2.0736863882721224E-2</v>
      </c>
      <c r="D360" s="49">
        <v>161.91</v>
      </c>
      <c r="E360" s="64">
        <f t="shared" si="16"/>
        <v>-1.061759066440171E-2</v>
      </c>
      <c r="F360" s="49">
        <v>3.51</v>
      </c>
      <c r="G360" s="65">
        <f t="shared" si="17"/>
        <v>-4.9645230489165248E-2</v>
      </c>
    </row>
    <row r="361" spans="1:7" ht="16">
      <c r="A361" s="44">
        <v>44841</v>
      </c>
      <c r="B361" s="49">
        <v>13798.26</v>
      </c>
      <c r="C361" s="50">
        <f t="shared" si="15"/>
        <v>-7.6161176645541673E-3</v>
      </c>
      <c r="D361" s="49">
        <v>160.19999999999999</v>
      </c>
      <c r="E361" s="64">
        <f t="shared" si="16"/>
        <v>1.3100029944910219E-3</v>
      </c>
      <c r="F361" s="49">
        <v>3.34</v>
      </c>
      <c r="G361" s="65">
        <f t="shared" si="17"/>
        <v>1.190490250631826E-2</v>
      </c>
    </row>
    <row r="362" spans="1:7" ht="16">
      <c r="A362" s="44">
        <v>44844</v>
      </c>
      <c r="B362" s="49">
        <v>13693.57</v>
      </c>
      <c r="C362" s="50">
        <f t="shared" si="15"/>
        <v>-6.2619107641506133E-3</v>
      </c>
      <c r="D362" s="49">
        <v>160.41</v>
      </c>
      <c r="E362" s="64">
        <f t="shared" si="16"/>
        <v>1.4359348043773146E-2</v>
      </c>
      <c r="F362" s="49">
        <v>3.38</v>
      </c>
      <c r="G362" s="65">
        <f t="shared" si="17"/>
        <v>-2.9629651306568583E-3</v>
      </c>
    </row>
    <row r="363" spans="1:7" ht="16">
      <c r="A363" s="44">
        <v>44845</v>
      </c>
      <c r="B363" s="49">
        <v>13608.09</v>
      </c>
      <c r="C363" s="50">
        <f t="shared" si="15"/>
        <v>-4.5141117549398757E-3</v>
      </c>
      <c r="D363" s="49">
        <v>162.72999999999999</v>
      </c>
      <c r="E363" s="64">
        <f t="shared" si="16"/>
        <v>-2.4583615144457838E-4</v>
      </c>
      <c r="F363" s="49">
        <v>3.37</v>
      </c>
      <c r="G363" s="65">
        <f t="shared" si="17"/>
        <v>0</v>
      </c>
    </row>
    <row r="364" spans="1:7" ht="16">
      <c r="A364" s="44">
        <v>44846</v>
      </c>
      <c r="B364" s="49">
        <v>13546.8</v>
      </c>
      <c r="C364" s="50">
        <f t="shared" si="15"/>
        <v>2.4944642875665224E-2</v>
      </c>
      <c r="D364" s="49">
        <v>162.69</v>
      </c>
      <c r="E364" s="64">
        <f t="shared" si="16"/>
        <v>1.5007602315719737E-2</v>
      </c>
      <c r="F364" s="49">
        <v>3.37</v>
      </c>
      <c r="G364" s="65">
        <f t="shared" si="17"/>
        <v>3.4988991850065432E-2</v>
      </c>
    </row>
    <row r="365" spans="1:7" ht="16">
      <c r="A365" s="44">
        <v>44847</v>
      </c>
      <c r="B365" s="49">
        <v>13888.97</v>
      </c>
      <c r="C365" s="50">
        <f t="shared" si="15"/>
        <v>-2.048785160840616E-2</v>
      </c>
      <c r="D365" s="49">
        <v>165.15</v>
      </c>
      <c r="E365" s="64">
        <f t="shared" si="16"/>
        <v>-4.1867722940489571E-3</v>
      </c>
      <c r="F365" s="49">
        <v>3.49</v>
      </c>
      <c r="G365" s="65">
        <f t="shared" si="17"/>
        <v>-5.295354682536435E-2</v>
      </c>
    </row>
    <row r="366" spans="1:7" ht="16">
      <c r="A366" s="44">
        <v>44848</v>
      </c>
      <c r="B366" s="49">
        <v>13607.31</v>
      </c>
      <c r="C366" s="50">
        <f t="shared" si="15"/>
        <v>2.2950083429037704E-2</v>
      </c>
      <c r="D366" s="49">
        <v>164.46</v>
      </c>
      <c r="E366" s="64">
        <f t="shared" si="16"/>
        <v>1.2868324378875862E-2</v>
      </c>
      <c r="F366" s="49">
        <v>3.31</v>
      </c>
      <c r="G366" s="65">
        <f t="shared" si="17"/>
        <v>2.9764101906453844E-2</v>
      </c>
    </row>
    <row r="367" spans="1:7" ht="16">
      <c r="A367" s="44">
        <v>44851</v>
      </c>
      <c r="B367" s="49">
        <v>13923.21</v>
      </c>
      <c r="C367" s="50">
        <f t="shared" si="15"/>
        <v>1.1851314672368218E-2</v>
      </c>
      <c r="D367" s="49">
        <v>166.59</v>
      </c>
      <c r="E367" s="64">
        <f t="shared" si="16"/>
        <v>-3.4876764156406281E-3</v>
      </c>
      <c r="F367" s="49">
        <v>3.41</v>
      </c>
      <c r="G367" s="65">
        <f t="shared" si="17"/>
        <v>2.6050677199942696E-2</v>
      </c>
    </row>
    <row r="368" spans="1:7" ht="16">
      <c r="A368" s="44">
        <v>44852</v>
      </c>
      <c r="B368" s="49">
        <v>14089.2</v>
      </c>
      <c r="C368" s="50">
        <f t="shared" si="15"/>
        <v>-1.0125473237367899E-2</v>
      </c>
      <c r="D368" s="49">
        <v>166.01</v>
      </c>
      <c r="E368" s="64">
        <f t="shared" si="16"/>
        <v>-7.9831086198680623E-3</v>
      </c>
      <c r="F368" s="49">
        <v>3.5</v>
      </c>
      <c r="G368" s="65">
        <f t="shared" si="17"/>
        <v>-4.0821994520255256E-2</v>
      </c>
    </row>
    <row r="369" spans="1:7" ht="16">
      <c r="A369" s="44">
        <v>44853</v>
      </c>
      <c r="B369" s="49">
        <v>13947.26</v>
      </c>
      <c r="C369" s="50">
        <f t="shared" si="15"/>
        <v>-7.6861640541778797E-3</v>
      </c>
      <c r="D369" s="49">
        <v>164.69</v>
      </c>
      <c r="E369" s="64">
        <f t="shared" si="16"/>
        <v>2.5469995576248294E-3</v>
      </c>
      <c r="F369" s="49">
        <v>3.36</v>
      </c>
      <c r="G369" s="65">
        <f t="shared" si="17"/>
        <v>-4.8790164169431938E-2</v>
      </c>
    </row>
    <row r="370" spans="1:7" ht="16">
      <c r="A370" s="44">
        <v>44854</v>
      </c>
      <c r="B370" s="49">
        <v>13840.47</v>
      </c>
      <c r="C370" s="50">
        <f t="shared" si="15"/>
        <v>2.1697131806428516E-2</v>
      </c>
      <c r="D370" s="49">
        <v>165.11</v>
      </c>
      <c r="E370" s="64">
        <f t="shared" si="16"/>
        <v>2.156934617414219E-2</v>
      </c>
      <c r="F370" s="49">
        <v>3.2</v>
      </c>
      <c r="G370" s="65">
        <f t="shared" si="17"/>
        <v>3.1201273362435611E-3</v>
      </c>
    </row>
    <row r="371" spans="1:7" ht="16">
      <c r="A371" s="44">
        <v>44855</v>
      </c>
      <c r="B371" s="49">
        <v>14144.05</v>
      </c>
      <c r="C371" s="50">
        <f t="shared" si="15"/>
        <v>5.7849676456189769E-3</v>
      </c>
      <c r="D371" s="49">
        <v>168.71</v>
      </c>
      <c r="E371" s="64">
        <f t="shared" si="16"/>
        <v>1.3365325980204013E-2</v>
      </c>
      <c r="F371" s="49">
        <v>3.21</v>
      </c>
      <c r="G371" s="65">
        <f t="shared" si="17"/>
        <v>-4.4593375542818725E-2</v>
      </c>
    </row>
    <row r="372" spans="1:7" ht="16">
      <c r="A372" s="44">
        <v>44858</v>
      </c>
      <c r="B372" s="49">
        <v>14226.11</v>
      </c>
      <c r="C372" s="50">
        <f t="shared" si="15"/>
        <v>1.4970907654051402E-2</v>
      </c>
      <c r="D372" s="49">
        <v>170.98</v>
      </c>
      <c r="E372" s="64">
        <f t="shared" si="16"/>
        <v>-1.5803802054259464E-3</v>
      </c>
      <c r="F372" s="49">
        <v>3.07</v>
      </c>
      <c r="G372" s="65">
        <f t="shared" si="17"/>
        <v>8.1294742393246855E-2</v>
      </c>
    </row>
    <row r="373" spans="1:7" ht="16">
      <c r="A373" s="44">
        <v>44859</v>
      </c>
      <c r="B373" s="49">
        <v>14440.69</v>
      </c>
      <c r="C373" s="50">
        <f t="shared" si="15"/>
        <v>6.2818656425225328E-3</v>
      </c>
      <c r="D373" s="49">
        <v>170.71</v>
      </c>
      <c r="E373" s="64">
        <f t="shared" si="16"/>
        <v>8.7484519241467495E-3</v>
      </c>
      <c r="F373" s="49">
        <v>3.33</v>
      </c>
      <c r="G373" s="65">
        <f t="shared" si="17"/>
        <v>-1.5128881596300214E-2</v>
      </c>
    </row>
    <row r="374" spans="1:7" ht="16">
      <c r="A374" s="44">
        <v>44860</v>
      </c>
      <c r="B374" s="49">
        <v>14531.69</v>
      </c>
      <c r="C374" s="50">
        <f t="shared" si="15"/>
        <v>2.625974866473868E-3</v>
      </c>
      <c r="D374" s="49">
        <v>172.21</v>
      </c>
      <c r="E374" s="64">
        <f t="shared" si="16"/>
        <v>5.8051783819923486E-4</v>
      </c>
      <c r="F374" s="49">
        <v>3.28</v>
      </c>
      <c r="G374" s="65">
        <f t="shared" si="17"/>
        <v>-9.1884260544061735E-3</v>
      </c>
    </row>
    <row r="375" spans="1:7" ht="16">
      <c r="A375" s="44">
        <v>44861</v>
      </c>
      <c r="B375" s="49">
        <v>14569.9</v>
      </c>
      <c r="C375" s="50">
        <f t="shared" si="15"/>
        <v>1.5374110133372199E-2</v>
      </c>
      <c r="D375" s="49">
        <v>172.31</v>
      </c>
      <c r="E375" s="64">
        <f t="shared" si="16"/>
        <v>1.4747660570560761E-2</v>
      </c>
      <c r="F375" s="49">
        <v>3.25</v>
      </c>
      <c r="G375" s="65">
        <f t="shared" si="17"/>
        <v>2.4317307650706388E-2</v>
      </c>
    </row>
    <row r="376" spans="1:7" ht="16">
      <c r="A376" s="44">
        <v>44862</v>
      </c>
      <c r="B376" s="49">
        <v>14795.63</v>
      </c>
      <c r="C376" s="50">
        <f t="shared" si="15"/>
        <v>-3.2901603201533902E-3</v>
      </c>
      <c r="D376" s="49">
        <v>174.87</v>
      </c>
      <c r="E376" s="64">
        <f t="shared" si="16"/>
        <v>-5.1599701691094069E-3</v>
      </c>
      <c r="F376" s="49">
        <v>3.33</v>
      </c>
      <c r="G376" s="65">
        <f t="shared" si="17"/>
        <v>-6.0241146033810367E-3</v>
      </c>
    </row>
    <row r="377" spans="1:7" ht="16">
      <c r="A377" s="44">
        <v>44865</v>
      </c>
      <c r="B377" s="49">
        <v>14747.03</v>
      </c>
      <c r="C377" s="50">
        <f t="shared" si="15"/>
        <v>2.9575744007477311E-3</v>
      </c>
      <c r="D377" s="49">
        <v>173.97</v>
      </c>
      <c r="E377" s="64">
        <f t="shared" si="16"/>
        <v>-5.0711801181515526E-3</v>
      </c>
      <c r="F377" s="49">
        <v>3.31</v>
      </c>
      <c r="G377" s="65">
        <f t="shared" si="17"/>
        <v>3.5612071788877042E-2</v>
      </c>
    </row>
    <row r="378" spans="1:7" ht="16">
      <c r="A378" s="44">
        <v>44866</v>
      </c>
      <c r="B378" s="49">
        <v>14790.71</v>
      </c>
      <c r="C378" s="50">
        <f t="shared" si="15"/>
        <v>-1.9998918409037003E-2</v>
      </c>
      <c r="D378" s="49">
        <v>173.09</v>
      </c>
      <c r="E378" s="64">
        <f t="shared" si="16"/>
        <v>-1.5487035201162236E-2</v>
      </c>
      <c r="F378" s="49">
        <v>3.43</v>
      </c>
      <c r="G378" s="65">
        <f t="shared" si="17"/>
        <v>-8.515780834030684E-2</v>
      </c>
    </row>
    <row r="379" spans="1:7" ht="16">
      <c r="A379" s="44">
        <v>44867</v>
      </c>
      <c r="B379" s="49">
        <v>14497.85</v>
      </c>
      <c r="C379" s="50">
        <f t="shared" si="15"/>
        <v>-2.913637432673255E-3</v>
      </c>
      <c r="D379" s="49">
        <v>170.43</v>
      </c>
      <c r="E379" s="64">
        <f t="shared" si="16"/>
        <v>1.7001323162979531E-3</v>
      </c>
      <c r="F379" s="49">
        <v>3.15</v>
      </c>
      <c r="G379" s="65">
        <f t="shared" si="17"/>
        <v>-1.9231361927887658E-2</v>
      </c>
    </row>
    <row r="380" spans="1:7" ht="16">
      <c r="A380" s="44">
        <v>44868</v>
      </c>
      <c r="B380" s="49">
        <v>14455.67</v>
      </c>
      <c r="C380" s="50">
        <f t="shared" si="15"/>
        <v>1.6949186269290095E-2</v>
      </c>
      <c r="D380" s="49">
        <v>170.72</v>
      </c>
      <c r="E380" s="64">
        <f t="shared" si="16"/>
        <v>4.4418541763331376E-3</v>
      </c>
      <c r="F380" s="49">
        <v>3.09</v>
      </c>
      <c r="G380" s="65">
        <f t="shared" si="17"/>
        <v>2.8710105882431503E-2</v>
      </c>
    </row>
    <row r="381" spans="1:7" ht="16">
      <c r="A381" s="44">
        <v>44869</v>
      </c>
      <c r="B381" s="49">
        <v>14702.77</v>
      </c>
      <c r="C381" s="50">
        <f t="shared" si="15"/>
        <v>7.174207529580201E-3</v>
      </c>
      <c r="D381" s="49">
        <v>171.48</v>
      </c>
      <c r="E381" s="64">
        <f t="shared" si="16"/>
        <v>8.7093391485897342E-3</v>
      </c>
      <c r="F381" s="49">
        <v>3.18</v>
      </c>
      <c r="G381" s="65">
        <f t="shared" si="17"/>
        <v>5.2079149044889528E-2</v>
      </c>
    </row>
    <row r="382" spans="1:7" ht="16">
      <c r="A382" s="44">
        <v>44872</v>
      </c>
      <c r="B382" s="49">
        <v>14808.63</v>
      </c>
      <c r="C382" s="50">
        <f t="shared" si="15"/>
        <v>5.4327152370827747E-3</v>
      </c>
      <c r="D382" s="49">
        <v>172.98</v>
      </c>
      <c r="E382" s="64">
        <f t="shared" si="16"/>
        <v>4.9593550698077138E-3</v>
      </c>
      <c r="F382" s="49">
        <v>3.35</v>
      </c>
      <c r="G382" s="65">
        <f t="shared" si="17"/>
        <v>2.3599915340873467E-2</v>
      </c>
    </row>
    <row r="383" spans="1:7" ht="16">
      <c r="A383" s="44">
        <v>44873</v>
      </c>
      <c r="B383" s="49">
        <v>14889.3</v>
      </c>
      <c r="C383" s="50">
        <f t="shared" si="15"/>
        <v>-2.0460013240944264E-2</v>
      </c>
      <c r="D383" s="49">
        <v>173.84</v>
      </c>
      <c r="E383" s="64">
        <f t="shared" si="16"/>
        <v>-8.027996565323825E-3</v>
      </c>
      <c r="F383" s="49">
        <v>3.43</v>
      </c>
      <c r="G383" s="65">
        <f t="shared" si="17"/>
        <v>-9.1527256625786757E-2</v>
      </c>
    </row>
    <row r="384" spans="1:7" ht="16">
      <c r="A384" s="44">
        <v>44874</v>
      </c>
      <c r="B384" s="49">
        <v>14587.76</v>
      </c>
      <c r="C384" s="50">
        <f t="shared" si="15"/>
        <v>4.3394212602757776E-2</v>
      </c>
      <c r="D384" s="49">
        <v>172.45</v>
      </c>
      <c r="E384" s="64">
        <f t="shared" si="16"/>
        <v>1.1645467708960133E-2</v>
      </c>
      <c r="F384" s="49">
        <v>3.13</v>
      </c>
      <c r="G384" s="65">
        <f t="shared" si="17"/>
        <v>-7.9776502427721052E-2</v>
      </c>
    </row>
    <row r="385" spans="1:7" ht="16">
      <c r="A385" s="44">
        <v>44875</v>
      </c>
      <c r="B385" s="49">
        <v>15234.72</v>
      </c>
      <c r="C385" s="50">
        <f t="shared" si="15"/>
        <v>7.7136694437900388E-3</v>
      </c>
      <c r="D385" s="49">
        <v>174.47</v>
      </c>
      <c r="E385" s="64">
        <f t="shared" si="16"/>
        <v>-3.037589529942597E-2</v>
      </c>
      <c r="F385" s="49">
        <v>2.89</v>
      </c>
      <c r="G385" s="65">
        <f t="shared" si="17"/>
        <v>0.14770384371263434</v>
      </c>
    </row>
    <row r="386" spans="1:7" ht="16">
      <c r="A386" s="44">
        <v>44876</v>
      </c>
      <c r="B386" s="49">
        <v>15352.69</v>
      </c>
      <c r="C386" s="50">
        <f t="shared" si="15"/>
        <v>-8.0905113945668461E-3</v>
      </c>
      <c r="D386" s="49">
        <v>169.25</v>
      </c>
      <c r="E386" s="64">
        <f t="shared" si="16"/>
        <v>1.5594172261018002E-2</v>
      </c>
      <c r="F386" s="49">
        <v>3.35</v>
      </c>
      <c r="G386" s="65">
        <f t="shared" si="17"/>
        <v>-2.9895388483660579E-3</v>
      </c>
    </row>
    <row r="387" spans="1:7" ht="16">
      <c r="A387" s="44">
        <v>44879</v>
      </c>
      <c r="B387" s="49">
        <v>15228.98</v>
      </c>
      <c r="C387" s="50">
        <f t="shared" si="15"/>
        <v>9.9327898848482477E-3</v>
      </c>
      <c r="D387" s="49">
        <v>171.91</v>
      </c>
      <c r="E387" s="64">
        <f t="shared" si="16"/>
        <v>2.7882678534849603E-3</v>
      </c>
      <c r="F387" s="49">
        <v>3.34</v>
      </c>
      <c r="G387" s="65">
        <f t="shared" si="17"/>
        <v>3.2403424054659347E-2</v>
      </c>
    </row>
    <row r="388" spans="1:7" ht="16">
      <c r="A388" s="44">
        <v>44880</v>
      </c>
      <c r="B388" s="49">
        <v>15381</v>
      </c>
      <c r="C388" s="50">
        <f t="shared" si="15"/>
        <v>-7.5539780831679337E-3</v>
      </c>
      <c r="D388" s="49">
        <v>172.39</v>
      </c>
      <c r="E388" s="64">
        <f t="shared" si="16"/>
        <v>6.1876733494221625E-3</v>
      </c>
      <c r="F388" s="49">
        <v>3.45</v>
      </c>
      <c r="G388" s="65">
        <f t="shared" si="17"/>
        <v>-5.3584246134106284E-2</v>
      </c>
    </row>
    <row r="389" spans="1:7" ht="16">
      <c r="A389" s="44">
        <v>44881</v>
      </c>
      <c r="B389" s="49">
        <v>15265.25</v>
      </c>
      <c r="C389" s="50">
        <f t="shared" ref="C389:C452" si="18">LN(B390)-LN(B389)</f>
        <v>-2.7085008264808863E-3</v>
      </c>
      <c r="D389" s="49">
        <v>173.46</v>
      </c>
      <c r="E389" s="64">
        <f t="shared" ref="E389:E452" si="19">LN(D390)-LN(D389)</f>
        <v>8.0386284964353294E-3</v>
      </c>
      <c r="F389" s="49">
        <v>3.27</v>
      </c>
      <c r="G389" s="65">
        <f t="shared" ref="G389:G452" si="20">LN(F390)-LN(F389)</f>
        <v>-6.134988567515931E-3</v>
      </c>
    </row>
    <row r="390" spans="1:7" ht="16">
      <c r="A390" s="44">
        <v>44882</v>
      </c>
      <c r="B390" s="49">
        <v>15223.96</v>
      </c>
      <c r="C390" s="50">
        <f t="shared" si="18"/>
        <v>5.6206841358488191E-3</v>
      </c>
      <c r="D390" s="49">
        <v>174.86</v>
      </c>
      <c r="E390" s="64">
        <f t="shared" si="19"/>
        <v>7.6340597493347317E-3</v>
      </c>
      <c r="F390" s="49">
        <v>3.25</v>
      </c>
      <c r="G390" s="65">
        <f t="shared" si="20"/>
        <v>-4.0821994520255034E-2</v>
      </c>
    </row>
    <row r="391" spans="1:7" ht="16">
      <c r="A391" s="44">
        <v>44883</v>
      </c>
      <c r="B391" s="49">
        <v>15309.77</v>
      </c>
      <c r="C391" s="50">
        <f t="shared" si="18"/>
        <v>-2.0602837872232271E-3</v>
      </c>
      <c r="D391" s="49">
        <v>176.2</v>
      </c>
      <c r="E391" s="64">
        <f t="shared" si="19"/>
        <v>-1.3061875384092758E-3</v>
      </c>
      <c r="F391" s="49">
        <v>3.12</v>
      </c>
      <c r="G391" s="65">
        <f t="shared" si="20"/>
        <v>-6.9679920637989889E-2</v>
      </c>
    </row>
    <row r="392" spans="1:7" ht="16">
      <c r="A392" s="44">
        <v>44886</v>
      </c>
      <c r="B392" s="49">
        <v>15278.26</v>
      </c>
      <c r="C392" s="50">
        <f t="shared" si="18"/>
        <v>1.3231653880573901E-2</v>
      </c>
      <c r="D392" s="49">
        <v>175.97</v>
      </c>
      <c r="E392" s="64">
        <f t="shared" si="19"/>
        <v>4.8187400139880765E-3</v>
      </c>
      <c r="F392" s="49">
        <v>2.91</v>
      </c>
      <c r="G392" s="65">
        <f t="shared" si="20"/>
        <v>-4.5702153480855712E-2</v>
      </c>
    </row>
    <row r="393" spans="1:7" ht="16">
      <c r="A393" s="44">
        <v>44887</v>
      </c>
      <c r="B393" s="49">
        <v>15481.76</v>
      </c>
      <c r="C393" s="50">
        <f t="shared" si="18"/>
        <v>4.1099374325170857E-3</v>
      </c>
      <c r="D393" s="49">
        <v>176.82</v>
      </c>
      <c r="E393" s="64">
        <f t="shared" si="19"/>
        <v>1.0739621754067841E-3</v>
      </c>
      <c r="F393" s="49">
        <v>2.78</v>
      </c>
      <c r="G393" s="65">
        <f t="shared" si="20"/>
        <v>-1.4493007302566641E-2</v>
      </c>
    </row>
    <row r="394" spans="1:7" ht="16">
      <c r="A394" s="44">
        <v>44888</v>
      </c>
      <c r="B394" s="49">
        <v>15545.52</v>
      </c>
      <c r="C394" s="50">
        <f t="shared" si="18"/>
        <v>3.8618155360676809E-3</v>
      </c>
      <c r="D394" s="49">
        <v>177.01</v>
      </c>
      <c r="E394" s="64">
        <f t="shared" si="19"/>
        <v>1.2985181782241284E-3</v>
      </c>
      <c r="F394" s="49">
        <v>2.74</v>
      </c>
      <c r="G394" s="65">
        <f t="shared" si="20"/>
        <v>4.2863704431782335E-2</v>
      </c>
    </row>
    <row r="395" spans="1:7" ht="16">
      <c r="A395" s="44">
        <v>44890</v>
      </c>
      <c r="B395" s="49">
        <v>15605.67</v>
      </c>
      <c r="C395" s="50">
        <f t="shared" si="18"/>
        <v>-1.5188125421218501E-2</v>
      </c>
      <c r="D395" s="49">
        <v>177.24</v>
      </c>
      <c r="E395" s="64">
        <f t="shared" si="19"/>
        <v>5.0765717309886327E-4</v>
      </c>
      <c r="F395" s="49">
        <v>2.86</v>
      </c>
      <c r="G395" s="65">
        <f t="shared" si="20"/>
        <v>-3.922071315328135E-2</v>
      </c>
    </row>
    <row r="396" spans="1:7" ht="16">
      <c r="A396" s="44">
        <v>44893</v>
      </c>
      <c r="B396" s="49">
        <v>15370.44</v>
      </c>
      <c r="C396" s="50">
        <f t="shared" si="18"/>
        <v>4.0916953972214287E-3</v>
      </c>
      <c r="D396" s="49">
        <v>177.33</v>
      </c>
      <c r="E396" s="64">
        <f t="shared" si="19"/>
        <v>-7.0171755317014473E-3</v>
      </c>
      <c r="F396" s="49">
        <v>2.75</v>
      </c>
      <c r="G396" s="65">
        <f t="shared" si="20"/>
        <v>-1.4652276786870311E-2</v>
      </c>
    </row>
    <row r="397" spans="1:7" ht="16">
      <c r="A397" s="44">
        <v>44894</v>
      </c>
      <c r="B397" s="49">
        <v>15433.46</v>
      </c>
      <c r="C397" s="50">
        <f t="shared" si="18"/>
        <v>2.2206703110237314E-2</v>
      </c>
      <c r="D397" s="49">
        <v>176.09</v>
      </c>
      <c r="E397" s="64">
        <f t="shared" si="19"/>
        <v>1.0788322319398524E-2</v>
      </c>
      <c r="F397" s="49">
        <v>2.71</v>
      </c>
      <c r="G397" s="65">
        <f t="shared" si="20"/>
        <v>6.0841659256244962E-2</v>
      </c>
    </row>
    <row r="398" spans="1:7" ht="16">
      <c r="A398" s="44">
        <v>44895</v>
      </c>
      <c r="B398" s="49">
        <v>15780.02</v>
      </c>
      <c r="C398" s="50">
        <f t="shared" si="18"/>
        <v>-1.1984349495346436E-3</v>
      </c>
      <c r="D398" s="49">
        <v>178</v>
      </c>
      <c r="E398" s="64">
        <f t="shared" si="19"/>
        <v>4.148685661160556E-3</v>
      </c>
      <c r="F398" s="49">
        <v>2.88</v>
      </c>
      <c r="G398" s="65">
        <f t="shared" si="20"/>
        <v>3.7483093254740529E-2</v>
      </c>
    </row>
    <row r="399" spans="1:7" ht="16">
      <c r="A399" s="44">
        <v>44896</v>
      </c>
      <c r="B399" s="49">
        <v>15761.12</v>
      </c>
      <c r="C399" s="50">
        <f t="shared" si="18"/>
        <v>3.7426883215196938E-4</v>
      </c>
      <c r="D399" s="49">
        <v>178.74</v>
      </c>
      <c r="E399" s="64">
        <f t="shared" si="19"/>
        <v>7.8295401348871252E-4</v>
      </c>
      <c r="F399" s="49">
        <v>2.99</v>
      </c>
      <c r="G399" s="65">
        <f t="shared" si="20"/>
        <v>6.6666913581892029E-3</v>
      </c>
    </row>
    <row r="400" spans="1:7" ht="16">
      <c r="A400" s="44">
        <v>44897</v>
      </c>
      <c r="B400" s="49">
        <v>15767.02</v>
      </c>
      <c r="C400" s="50">
        <f t="shared" si="18"/>
        <v>-1.8708168522719504E-2</v>
      </c>
      <c r="D400" s="49">
        <v>178.88</v>
      </c>
      <c r="E400" s="64">
        <f t="shared" si="19"/>
        <v>-5.591903070278903E-4</v>
      </c>
      <c r="F400" s="49">
        <v>3.01</v>
      </c>
      <c r="G400" s="65">
        <f t="shared" si="20"/>
        <v>-6.5203193810762006E-2</v>
      </c>
    </row>
    <row r="401" spans="1:7" ht="16">
      <c r="A401" s="44">
        <v>44900</v>
      </c>
      <c r="B401" s="49">
        <v>15474.79</v>
      </c>
      <c r="C401" s="50">
        <f t="shared" si="18"/>
        <v>-9.5023217506966517E-3</v>
      </c>
      <c r="D401" s="49">
        <v>178.78</v>
      </c>
      <c r="E401" s="64">
        <f t="shared" si="19"/>
        <v>-1.5103984157546435E-2</v>
      </c>
      <c r="F401" s="49">
        <v>2.82</v>
      </c>
      <c r="G401" s="65">
        <f t="shared" si="20"/>
        <v>-3.2435275753153858E-2</v>
      </c>
    </row>
    <row r="402" spans="1:7" ht="16">
      <c r="A402" s="44">
        <v>44901</v>
      </c>
      <c r="B402" s="49">
        <v>15328.44</v>
      </c>
      <c r="C402" s="50">
        <f t="shared" si="18"/>
        <v>-1.0868065702407392E-3</v>
      </c>
      <c r="D402" s="49">
        <v>176.1</v>
      </c>
      <c r="E402" s="64">
        <f t="shared" si="19"/>
        <v>6.0577081101857999E-3</v>
      </c>
      <c r="F402" s="49">
        <v>2.73</v>
      </c>
      <c r="G402" s="65">
        <f t="shared" si="20"/>
        <v>2.8882874148786097E-2</v>
      </c>
    </row>
    <row r="403" spans="1:7" ht="16">
      <c r="A403" s="44">
        <v>44902</v>
      </c>
      <c r="B403" s="49">
        <v>15311.79</v>
      </c>
      <c r="C403" s="50">
        <f t="shared" si="18"/>
        <v>5.7404934250886441E-3</v>
      </c>
      <c r="D403" s="49">
        <v>177.17</v>
      </c>
      <c r="E403" s="64">
        <f t="shared" si="19"/>
        <v>1.6931455863478106E-4</v>
      </c>
      <c r="F403" s="49">
        <v>2.81</v>
      </c>
      <c r="G403" s="65">
        <f t="shared" si="20"/>
        <v>-1.0733555643108961E-2</v>
      </c>
    </row>
    <row r="404" spans="1:7" ht="16">
      <c r="A404" s="44">
        <v>44903</v>
      </c>
      <c r="B404" s="49">
        <v>15399.94</v>
      </c>
      <c r="C404" s="50">
        <f t="shared" si="18"/>
        <v>-7.0959233901035645E-3</v>
      </c>
      <c r="D404" s="49">
        <v>177.2</v>
      </c>
      <c r="E404" s="64">
        <f t="shared" si="19"/>
        <v>-8.273408103283586E-3</v>
      </c>
      <c r="F404" s="49">
        <v>2.78</v>
      </c>
      <c r="G404" s="65">
        <f t="shared" si="20"/>
        <v>-2.9199154692262086E-2</v>
      </c>
    </row>
    <row r="405" spans="1:7" ht="16">
      <c r="A405" s="44">
        <v>44904</v>
      </c>
      <c r="B405" s="49">
        <v>15291.05</v>
      </c>
      <c r="C405" s="50">
        <f t="shared" si="18"/>
        <v>1.1548998120424869E-2</v>
      </c>
      <c r="D405" s="49">
        <v>175.74</v>
      </c>
      <c r="E405" s="64">
        <f t="shared" si="19"/>
        <v>1.1878639588243978E-2</v>
      </c>
      <c r="F405" s="49">
        <v>2.7</v>
      </c>
      <c r="G405" s="65">
        <f t="shared" si="20"/>
        <v>0</v>
      </c>
    </row>
    <row r="406" spans="1:7" ht="16">
      <c r="A406" s="44">
        <v>44907</v>
      </c>
      <c r="B406" s="49">
        <v>15468.67</v>
      </c>
      <c r="C406" s="50">
        <f t="shared" si="18"/>
        <v>6.0500564643284349E-3</v>
      </c>
      <c r="D406" s="49">
        <v>177.84</v>
      </c>
      <c r="E406" s="64">
        <f t="shared" si="19"/>
        <v>7.674032899356753E-3</v>
      </c>
      <c r="F406" s="49">
        <v>2.7</v>
      </c>
      <c r="G406" s="65">
        <f t="shared" si="20"/>
        <v>0.10868830575050081</v>
      </c>
    </row>
    <row r="407" spans="1:7" ht="16">
      <c r="A407" s="44">
        <v>44908</v>
      </c>
      <c r="B407" s="49">
        <v>15562.54</v>
      </c>
      <c r="C407" s="50">
        <f t="shared" si="18"/>
        <v>-4.3506440028160398E-3</v>
      </c>
      <c r="D407" s="49">
        <v>179.21</v>
      </c>
      <c r="E407" s="64">
        <f t="shared" si="19"/>
        <v>3.0643253217759181E-3</v>
      </c>
      <c r="F407" s="49">
        <v>3.01</v>
      </c>
      <c r="G407" s="65">
        <f t="shared" si="20"/>
        <v>3.5892923060606874E-2</v>
      </c>
    </row>
    <row r="408" spans="1:7" ht="16">
      <c r="A408" s="44">
        <v>44909</v>
      </c>
      <c r="B408" s="49">
        <v>15494.98</v>
      </c>
      <c r="C408" s="50">
        <f t="shared" si="18"/>
        <v>-2.0387142182523021E-2</v>
      </c>
      <c r="D408" s="49">
        <v>179.76</v>
      </c>
      <c r="E408" s="64">
        <f t="shared" si="19"/>
        <v>-1.2708358576818846E-2</v>
      </c>
      <c r="F408" s="49">
        <v>3.12</v>
      </c>
      <c r="G408" s="65">
        <f t="shared" si="20"/>
        <v>-5.9423420470800847E-2</v>
      </c>
    </row>
    <row r="409" spans="1:7" ht="16">
      <c r="A409" s="44">
        <v>44910</v>
      </c>
      <c r="B409" s="49">
        <v>15182.28</v>
      </c>
      <c r="C409" s="50">
        <f t="shared" si="18"/>
        <v>-1.0868156954149555E-2</v>
      </c>
      <c r="D409" s="49">
        <v>177.49</v>
      </c>
      <c r="E409" s="64">
        <f t="shared" si="19"/>
        <v>-1.0307034274963378E-2</v>
      </c>
      <c r="F409" s="49">
        <v>2.94</v>
      </c>
      <c r="G409" s="65">
        <f t="shared" si="20"/>
        <v>-5.2367985517316029E-2</v>
      </c>
    </row>
    <row r="410" spans="1:7" ht="16">
      <c r="A410" s="44">
        <v>44911</v>
      </c>
      <c r="B410" s="49">
        <v>15018.17</v>
      </c>
      <c r="C410" s="50">
        <f t="shared" si="18"/>
        <v>-5.3504911294233182E-3</v>
      </c>
      <c r="D410" s="49">
        <v>175.67</v>
      </c>
      <c r="E410" s="64">
        <f t="shared" si="19"/>
        <v>-1.0821587272777933E-3</v>
      </c>
      <c r="F410" s="49">
        <v>2.79</v>
      </c>
      <c r="G410" s="65">
        <f t="shared" si="20"/>
        <v>-3.5906681307287247E-3</v>
      </c>
    </row>
    <row r="411" spans="1:7" ht="16">
      <c r="A411" s="44">
        <v>44914</v>
      </c>
      <c r="B411" s="49">
        <v>14938.03</v>
      </c>
      <c r="C411" s="50">
        <f t="shared" si="18"/>
        <v>4.1812233475102545E-3</v>
      </c>
      <c r="D411" s="49">
        <v>175.48</v>
      </c>
      <c r="E411" s="64">
        <f t="shared" si="19"/>
        <v>1.0821587272777933E-3</v>
      </c>
      <c r="F411" s="49">
        <v>2.78</v>
      </c>
      <c r="G411" s="65">
        <f t="shared" si="20"/>
        <v>7.1684894786125941E-3</v>
      </c>
    </row>
    <row r="412" spans="1:7" ht="16">
      <c r="A412" s="44">
        <v>44915</v>
      </c>
      <c r="B412" s="49">
        <v>15000.62</v>
      </c>
      <c r="C412" s="50">
        <f t="shared" si="18"/>
        <v>1.4489252055048141E-2</v>
      </c>
      <c r="D412" s="49">
        <v>175.67</v>
      </c>
      <c r="E412" s="64">
        <f t="shared" si="19"/>
        <v>1.1376944560880453E-2</v>
      </c>
      <c r="F412" s="49">
        <v>2.8</v>
      </c>
      <c r="G412" s="65">
        <f t="shared" si="20"/>
        <v>5.5569851154810834E-2</v>
      </c>
    </row>
    <row r="413" spans="1:7" ht="16">
      <c r="A413" s="44">
        <v>44916</v>
      </c>
      <c r="B413" s="49">
        <v>15219.55</v>
      </c>
      <c r="C413" s="50">
        <f t="shared" si="18"/>
        <v>-9.1099693172473906E-3</v>
      </c>
      <c r="D413" s="49">
        <v>177.68</v>
      </c>
      <c r="E413" s="64">
        <f t="shared" si="19"/>
        <v>-3.6649698489847893E-3</v>
      </c>
      <c r="F413" s="49">
        <v>2.96</v>
      </c>
      <c r="G413" s="65">
        <f t="shared" si="20"/>
        <v>3.372684478639254E-3</v>
      </c>
    </row>
    <row r="414" spans="1:7" ht="16">
      <c r="A414" s="44">
        <v>44917</v>
      </c>
      <c r="B414" s="49">
        <v>15081.53</v>
      </c>
      <c r="C414" s="50">
        <f t="shared" si="18"/>
        <v>7.0644542656896903E-3</v>
      </c>
      <c r="D414" s="49">
        <v>177.03</v>
      </c>
      <c r="E414" s="64">
        <f t="shared" si="19"/>
        <v>2.5387167735217986E-3</v>
      </c>
      <c r="F414" s="49">
        <v>2.97</v>
      </c>
      <c r="G414" s="65">
        <f t="shared" si="20"/>
        <v>0</v>
      </c>
    </row>
    <row r="415" spans="1:7" ht="16">
      <c r="A415" s="44">
        <v>44918</v>
      </c>
      <c r="B415" s="49">
        <v>15188.45</v>
      </c>
      <c r="C415" s="50">
        <f t="shared" si="18"/>
        <v>1.9607520544315804E-3</v>
      </c>
      <c r="D415" s="49">
        <v>177.48</v>
      </c>
      <c r="E415" s="64">
        <f t="shared" si="19"/>
        <v>-2.8176157522086243E-4</v>
      </c>
      <c r="F415" s="49">
        <v>2.97</v>
      </c>
      <c r="G415" s="65">
        <f t="shared" si="20"/>
        <v>-1.6978336534417826E-2</v>
      </c>
    </row>
    <row r="416" spans="1:7" ht="16">
      <c r="A416" s="44">
        <v>44922</v>
      </c>
      <c r="B416" s="49">
        <v>15218.26</v>
      </c>
      <c r="C416" s="50">
        <f t="shared" si="18"/>
        <v>-1.1960911484925063E-2</v>
      </c>
      <c r="D416" s="49">
        <v>177.43</v>
      </c>
      <c r="E416" s="64">
        <f t="shared" si="19"/>
        <v>-4.3491836185021171E-3</v>
      </c>
      <c r="F416" s="49">
        <v>2.92</v>
      </c>
      <c r="G416" s="65">
        <f t="shared" si="20"/>
        <v>-3.8399132934535896E-2</v>
      </c>
    </row>
    <row r="417" spans="1:7" ht="16">
      <c r="A417" s="44">
        <v>44923</v>
      </c>
      <c r="B417" s="49">
        <v>15037.32</v>
      </c>
      <c r="C417" s="50">
        <f t="shared" si="18"/>
        <v>1.3467832277894942E-2</v>
      </c>
      <c r="D417" s="49">
        <v>176.66</v>
      </c>
      <c r="E417" s="64">
        <f t="shared" si="19"/>
        <v>5.0815986488483844E-3</v>
      </c>
      <c r="F417" s="49">
        <v>2.81</v>
      </c>
      <c r="G417" s="65">
        <f t="shared" si="20"/>
        <v>7.5378136175623167E-2</v>
      </c>
    </row>
    <row r="418" spans="1:7" ht="16">
      <c r="A418" s="44">
        <v>44924</v>
      </c>
      <c r="B418" s="49">
        <v>15241.21</v>
      </c>
      <c r="C418" s="50">
        <f t="shared" si="18"/>
        <v>-3.7402855454651274E-3</v>
      </c>
      <c r="D418" s="49">
        <v>177.56</v>
      </c>
      <c r="E418" s="64">
        <f t="shared" si="19"/>
        <v>-5.1382061606801699E-3</v>
      </c>
      <c r="F418" s="49">
        <v>3.03</v>
      </c>
      <c r="G418" s="65">
        <f t="shared" si="20"/>
        <v>-6.6225407604934006E-3</v>
      </c>
    </row>
    <row r="419" spans="1:7" ht="16">
      <c r="A419" s="44">
        <v>44925</v>
      </c>
      <c r="B419" s="49">
        <v>15184.31</v>
      </c>
      <c r="C419" s="50">
        <f t="shared" si="18"/>
        <v>-1.9684396884844801E-3</v>
      </c>
      <c r="D419" s="49">
        <v>176.65</v>
      </c>
      <c r="E419" s="64">
        <f t="shared" si="19"/>
        <v>8.6800229341692514E-3</v>
      </c>
      <c r="F419" s="49">
        <v>3.01</v>
      </c>
      <c r="G419" s="65">
        <f t="shared" si="20"/>
        <v>-3.0356462480593871E-2</v>
      </c>
    </row>
    <row r="420" spans="1:7" ht="16">
      <c r="A420" s="44">
        <v>44929</v>
      </c>
      <c r="B420" s="49">
        <v>15154.45</v>
      </c>
      <c r="C420" s="50">
        <f t="shared" si="18"/>
        <v>1.2840799617878318E-2</v>
      </c>
      <c r="D420" s="49">
        <v>178.19</v>
      </c>
      <c r="E420" s="64">
        <f t="shared" si="19"/>
        <v>1.0828415696143345E-2</v>
      </c>
      <c r="F420" s="49">
        <v>2.92</v>
      </c>
      <c r="G420" s="65">
        <f t="shared" si="20"/>
        <v>3.3673215106587939E-2</v>
      </c>
    </row>
    <row r="421" spans="1:7" ht="16">
      <c r="A421" s="44">
        <v>44930</v>
      </c>
      <c r="B421" s="49">
        <v>15350.3</v>
      </c>
      <c r="C421" s="50">
        <f t="shared" si="18"/>
        <v>-8.1699319873269616E-3</v>
      </c>
      <c r="D421" s="49">
        <v>180.13</v>
      </c>
      <c r="E421" s="64">
        <f t="shared" si="19"/>
        <v>-7.4109496960526045E-3</v>
      </c>
      <c r="F421" s="49">
        <v>3.02</v>
      </c>
      <c r="G421" s="65">
        <f t="shared" si="20"/>
        <v>-3.0254408357802243E-2</v>
      </c>
    </row>
    <row r="422" spans="1:7" ht="16">
      <c r="A422" s="44">
        <v>44931</v>
      </c>
      <c r="B422" s="49">
        <v>15225.4</v>
      </c>
      <c r="C422" s="50">
        <f t="shared" si="18"/>
        <v>2.043552795396586E-2</v>
      </c>
      <c r="D422" s="49">
        <v>178.8</v>
      </c>
      <c r="E422" s="64">
        <f t="shared" si="19"/>
        <v>8.0769134256444275E-3</v>
      </c>
      <c r="F422" s="49">
        <v>2.93</v>
      </c>
      <c r="G422" s="65">
        <f t="shared" si="20"/>
        <v>3.407158321614201E-3</v>
      </c>
    </row>
    <row r="423" spans="1:7" ht="16">
      <c r="A423" s="44">
        <v>44932</v>
      </c>
      <c r="B423" s="49">
        <v>15539.74</v>
      </c>
      <c r="C423" s="50">
        <f t="shared" si="18"/>
        <v>-1.6294106363510252E-3</v>
      </c>
      <c r="D423" s="49">
        <v>180.25</v>
      </c>
      <c r="E423" s="64">
        <f t="shared" si="19"/>
        <v>-2.6249996666996012E-2</v>
      </c>
      <c r="F423" s="49">
        <v>2.94</v>
      </c>
      <c r="G423" s="65">
        <f t="shared" si="20"/>
        <v>1.0152371464017929E-2</v>
      </c>
    </row>
    <row r="424" spans="1:7" ht="16">
      <c r="A424" s="44">
        <v>44935</v>
      </c>
      <c r="B424" s="49">
        <v>15514.44</v>
      </c>
      <c r="C424" s="50">
        <f t="shared" si="18"/>
        <v>6.0232919653735451E-3</v>
      </c>
      <c r="D424" s="49">
        <v>175.58</v>
      </c>
      <c r="E424" s="64">
        <f t="shared" si="19"/>
        <v>-2.3949375648646409E-3</v>
      </c>
      <c r="F424" s="49">
        <v>2.97</v>
      </c>
      <c r="G424" s="65">
        <f t="shared" si="20"/>
        <v>4.6060773376534581E-2</v>
      </c>
    </row>
    <row r="425" spans="1:7" ht="16">
      <c r="A425" s="44">
        <v>44936</v>
      </c>
      <c r="B425" s="49">
        <v>15608.17</v>
      </c>
      <c r="C425" s="50">
        <f t="shared" si="18"/>
        <v>8.9880907128367937E-3</v>
      </c>
      <c r="D425" s="49">
        <v>175.16</v>
      </c>
      <c r="E425" s="64">
        <f t="shared" si="19"/>
        <v>-1.599817504969181E-3</v>
      </c>
      <c r="F425" s="49">
        <v>3.11</v>
      </c>
      <c r="G425" s="65">
        <f t="shared" si="20"/>
        <v>9.6000737290191651E-3</v>
      </c>
    </row>
    <row r="426" spans="1:7" ht="16">
      <c r="A426" s="44">
        <v>44937</v>
      </c>
      <c r="B426" s="49">
        <v>15749.09</v>
      </c>
      <c r="C426" s="50">
        <f t="shared" si="18"/>
        <v>6.989256713429981E-3</v>
      </c>
      <c r="D426" s="49">
        <v>174.88</v>
      </c>
      <c r="E426" s="64">
        <f t="shared" si="19"/>
        <v>-5.0447252136995857E-3</v>
      </c>
      <c r="F426" s="49">
        <v>3.14</v>
      </c>
      <c r="G426" s="65">
        <f t="shared" si="20"/>
        <v>-1.2820688429061367E-2</v>
      </c>
    </row>
    <row r="427" spans="1:7" ht="16">
      <c r="A427" s="44">
        <v>44938</v>
      </c>
      <c r="B427" s="49">
        <v>15859.55</v>
      </c>
      <c r="C427" s="50">
        <f t="shared" si="18"/>
        <v>3.7019457015698976E-3</v>
      </c>
      <c r="D427" s="49">
        <v>174</v>
      </c>
      <c r="E427" s="64">
        <f t="shared" si="19"/>
        <v>-3.2812394520345123E-3</v>
      </c>
      <c r="F427" s="49">
        <v>3.1</v>
      </c>
      <c r="G427" s="65">
        <f t="shared" si="20"/>
        <v>-1.9544596072970322E-2</v>
      </c>
    </row>
    <row r="428" spans="1:7" ht="16">
      <c r="A428" s="44">
        <v>44939</v>
      </c>
      <c r="B428" s="49">
        <v>15918.37</v>
      </c>
      <c r="C428" s="50">
        <f t="shared" si="18"/>
        <v>-2.1891761853591873E-3</v>
      </c>
      <c r="D428" s="49">
        <v>173.43</v>
      </c>
      <c r="E428" s="64">
        <f t="shared" si="19"/>
        <v>-6.1887470148569435E-3</v>
      </c>
      <c r="F428" s="49">
        <v>3.04</v>
      </c>
      <c r="G428" s="65">
        <f t="shared" si="20"/>
        <v>1.9544596072970322E-2</v>
      </c>
    </row>
    <row r="429" spans="1:7" ht="16">
      <c r="A429" s="44">
        <v>44943</v>
      </c>
      <c r="B429" s="49">
        <v>15883.56</v>
      </c>
      <c r="C429" s="50">
        <f t="shared" si="18"/>
        <v>-1.4869287667696796E-2</v>
      </c>
      <c r="D429" s="49">
        <v>172.36</v>
      </c>
      <c r="E429" s="64">
        <f t="shared" si="19"/>
        <v>-1.5199637881964989E-2</v>
      </c>
      <c r="F429" s="49">
        <v>3.1</v>
      </c>
      <c r="G429" s="65">
        <f t="shared" si="20"/>
        <v>-3.2789822822990811E-2</v>
      </c>
    </row>
    <row r="430" spans="1:7" ht="16">
      <c r="A430" s="44">
        <v>44944</v>
      </c>
      <c r="B430" s="49">
        <v>15649.13</v>
      </c>
      <c r="C430" s="50">
        <f t="shared" si="18"/>
        <v>-5.0931024711022843E-3</v>
      </c>
      <c r="D430" s="49">
        <v>169.76</v>
      </c>
      <c r="E430" s="64">
        <f t="shared" si="19"/>
        <v>-1.3557725558106526E-3</v>
      </c>
      <c r="F430" s="49">
        <v>3</v>
      </c>
      <c r="G430" s="65">
        <f t="shared" si="20"/>
        <v>-4.7790663836348557E-2</v>
      </c>
    </row>
    <row r="431" spans="1:7" ht="16">
      <c r="A431" s="44">
        <v>44945</v>
      </c>
      <c r="B431" s="49">
        <v>15569.63</v>
      </c>
      <c r="C431" s="50">
        <f t="shared" si="18"/>
        <v>1.3265821625607188E-2</v>
      </c>
      <c r="D431" s="49">
        <v>169.53</v>
      </c>
      <c r="E431" s="64">
        <f t="shared" si="19"/>
        <v>-4.6708335723808503E-3</v>
      </c>
      <c r="F431" s="49">
        <v>2.86</v>
      </c>
      <c r="G431" s="65">
        <f t="shared" si="20"/>
        <v>-1.4084739881738972E-2</v>
      </c>
    </row>
    <row r="432" spans="1:7" ht="16">
      <c r="A432" s="44">
        <v>44946</v>
      </c>
      <c r="B432" s="49">
        <v>15777.55</v>
      </c>
      <c r="C432" s="50">
        <f t="shared" si="18"/>
        <v>6.4780797681134317E-3</v>
      </c>
      <c r="D432" s="49">
        <v>168.74</v>
      </c>
      <c r="E432" s="64">
        <f t="shared" si="19"/>
        <v>-2.5515515994065652E-3</v>
      </c>
      <c r="F432" s="49">
        <v>2.82</v>
      </c>
      <c r="G432" s="65">
        <f t="shared" si="20"/>
        <v>-7.1174677688641275E-3</v>
      </c>
    </row>
    <row r="433" spans="1:7" ht="16">
      <c r="A433" s="44">
        <v>44949</v>
      </c>
      <c r="B433" s="49">
        <v>15880.09</v>
      </c>
      <c r="C433" s="50">
        <f t="shared" si="18"/>
        <v>-7.477563721085545E-4</v>
      </c>
      <c r="D433" s="49">
        <v>168.31</v>
      </c>
      <c r="E433" s="64">
        <f t="shared" si="19"/>
        <v>0</v>
      </c>
      <c r="F433" s="49">
        <v>2.8</v>
      </c>
      <c r="G433" s="65">
        <f t="shared" si="20"/>
        <v>-3.2670782289548561E-2</v>
      </c>
    </row>
    <row r="434" spans="1:7" ht="16">
      <c r="A434" s="44">
        <v>44950</v>
      </c>
      <c r="B434" s="49">
        <v>15868.22</v>
      </c>
      <c r="C434" s="50">
        <f t="shared" si="18"/>
        <v>1.3256717128964368E-3</v>
      </c>
      <c r="D434" s="49">
        <v>168.31</v>
      </c>
      <c r="E434" s="64">
        <f t="shared" si="19"/>
        <v>7.1044049923205677E-3</v>
      </c>
      <c r="F434" s="49">
        <v>2.71</v>
      </c>
      <c r="G434" s="65">
        <f t="shared" si="20"/>
        <v>3.6832454162963879E-3</v>
      </c>
    </row>
    <row r="435" spans="1:7" ht="16">
      <c r="A435" s="44">
        <v>44951</v>
      </c>
      <c r="B435" s="49">
        <v>15889.27</v>
      </c>
      <c r="C435" s="50">
        <f t="shared" si="18"/>
        <v>6.0611684051465886E-3</v>
      </c>
      <c r="D435" s="49">
        <v>169.51</v>
      </c>
      <c r="E435" s="64">
        <f t="shared" si="19"/>
        <v>-3.6643067005650565E-3</v>
      </c>
      <c r="F435" s="49">
        <v>2.72</v>
      </c>
      <c r="G435" s="65">
        <f t="shared" si="20"/>
        <v>2.1819047394639579E-2</v>
      </c>
    </row>
    <row r="436" spans="1:7" ht="16">
      <c r="A436" s="44">
        <v>44952</v>
      </c>
      <c r="B436" s="49">
        <v>15985.87</v>
      </c>
      <c r="C436" s="50">
        <f t="shared" si="18"/>
        <v>-1.4579739627826882E-3</v>
      </c>
      <c r="D436" s="49">
        <v>168.89</v>
      </c>
      <c r="E436" s="64">
        <f t="shared" si="19"/>
        <v>-3.9155246987609971E-3</v>
      </c>
      <c r="F436" s="49">
        <v>2.78</v>
      </c>
      <c r="G436" s="65">
        <f t="shared" si="20"/>
        <v>0.10247866928293758</v>
      </c>
    </row>
    <row r="437" spans="1:7" ht="16">
      <c r="A437" s="44">
        <v>44953</v>
      </c>
      <c r="B437" s="49">
        <v>15962.58</v>
      </c>
      <c r="C437" s="50">
        <f t="shared" si="18"/>
        <v>-9.0418054080227961E-3</v>
      </c>
      <c r="D437" s="49">
        <v>168.23</v>
      </c>
      <c r="E437" s="64">
        <f t="shared" si="19"/>
        <v>-3.7735755498685464E-2</v>
      </c>
      <c r="F437" s="49">
        <v>3.08</v>
      </c>
      <c r="G437" s="65">
        <f t="shared" si="20"/>
        <v>2.5642430613337597E-2</v>
      </c>
    </row>
    <row r="438" spans="1:7" ht="16">
      <c r="A438" s="44">
        <v>44956</v>
      </c>
      <c r="B438" s="49">
        <v>15818.9</v>
      </c>
      <c r="C438" s="50">
        <f t="shared" si="18"/>
        <v>1.3655087079543549E-2</v>
      </c>
      <c r="D438" s="49">
        <v>162</v>
      </c>
      <c r="E438" s="64">
        <f t="shared" si="19"/>
        <v>8.7272387241776883E-3</v>
      </c>
      <c r="F438" s="49">
        <v>3.16</v>
      </c>
      <c r="G438" s="65">
        <f t="shared" si="20"/>
        <v>4.3350440873613838E-2</v>
      </c>
    </row>
    <row r="439" spans="1:7" ht="16">
      <c r="A439" s="44">
        <v>44957</v>
      </c>
      <c r="B439" s="49">
        <v>16036.39</v>
      </c>
      <c r="C439" s="50">
        <f t="shared" si="18"/>
        <v>5.2777627325646392E-3</v>
      </c>
      <c r="D439" s="49">
        <v>163.41999999999999</v>
      </c>
      <c r="E439" s="64">
        <f t="shared" si="19"/>
        <v>9.1369338821376545E-3</v>
      </c>
      <c r="F439" s="49">
        <v>3.3</v>
      </c>
      <c r="G439" s="65">
        <f t="shared" si="20"/>
        <v>9.0498355199180036E-3</v>
      </c>
    </row>
    <row r="440" spans="1:7" ht="16">
      <c r="A440" s="44">
        <v>44958</v>
      </c>
      <c r="B440" s="49">
        <v>16121.25</v>
      </c>
      <c r="C440" s="50">
        <f t="shared" si="18"/>
        <v>8.2496403233989213E-5</v>
      </c>
      <c r="D440" s="49">
        <v>164.92</v>
      </c>
      <c r="E440" s="64">
        <f t="shared" si="19"/>
        <v>3.7523496185505323E-3</v>
      </c>
      <c r="F440" s="49">
        <v>3.33</v>
      </c>
      <c r="G440" s="65">
        <f t="shared" si="20"/>
        <v>7.7961541469711682E-2</v>
      </c>
    </row>
    <row r="441" spans="1:7" ht="16">
      <c r="A441" s="44">
        <v>44959</v>
      </c>
      <c r="B441" s="49">
        <v>16122.58</v>
      </c>
      <c r="C441" s="50">
        <f t="shared" si="18"/>
        <v>-7.6695523630583295E-3</v>
      </c>
      <c r="D441" s="49">
        <v>165.54</v>
      </c>
      <c r="E441" s="64">
        <f t="shared" si="19"/>
        <v>-5.6338177182553295E-3</v>
      </c>
      <c r="F441" s="49">
        <v>3.6</v>
      </c>
      <c r="G441" s="65">
        <f t="shared" si="20"/>
        <v>-2.8170876966696179E-2</v>
      </c>
    </row>
    <row r="442" spans="1:7" ht="16">
      <c r="A442" s="44">
        <v>44960</v>
      </c>
      <c r="B442" s="49">
        <v>15999.4</v>
      </c>
      <c r="C442" s="50">
        <f t="shared" si="18"/>
        <v>-6.5239787987039222E-3</v>
      </c>
      <c r="D442" s="49">
        <v>164.61</v>
      </c>
      <c r="E442" s="64">
        <f t="shared" si="19"/>
        <v>-7.6226853226391E-3</v>
      </c>
      <c r="F442" s="49">
        <v>3.5</v>
      </c>
      <c r="G442" s="65">
        <f t="shared" si="20"/>
        <v>-6.7972983586205959E-2</v>
      </c>
    </row>
    <row r="443" spans="1:7" ht="16">
      <c r="A443" s="44">
        <v>44963</v>
      </c>
      <c r="B443" s="49">
        <v>15895.36</v>
      </c>
      <c r="C443" s="50">
        <f t="shared" si="18"/>
        <v>7.9118173851373541E-3</v>
      </c>
      <c r="D443" s="49">
        <v>163.36000000000001</v>
      </c>
      <c r="E443" s="64">
        <f t="shared" si="19"/>
        <v>2.4482800954750417E-4</v>
      </c>
      <c r="F443" s="49">
        <v>3.27</v>
      </c>
      <c r="G443" s="65">
        <f t="shared" si="20"/>
        <v>-1.8519047767237673E-2</v>
      </c>
    </row>
    <row r="444" spans="1:7" ht="16">
      <c r="A444" s="44">
        <v>44964</v>
      </c>
      <c r="B444" s="49">
        <v>16021.62</v>
      </c>
      <c r="C444" s="50">
        <f t="shared" si="18"/>
        <v>-5.4386837918976028E-3</v>
      </c>
      <c r="D444" s="49">
        <v>163.4</v>
      </c>
      <c r="E444" s="64">
        <f t="shared" si="19"/>
        <v>1.2843645690825412E-3</v>
      </c>
      <c r="F444" s="49">
        <v>3.21</v>
      </c>
      <c r="G444" s="65">
        <f t="shared" si="20"/>
        <v>-3.8099846232270362E-2</v>
      </c>
    </row>
    <row r="445" spans="1:7" ht="16">
      <c r="A445" s="44">
        <v>44965</v>
      </c>
      <c r="B445" s="49">
        <v>15934.72</v>
      </c>
      <c r="C445" s="50">
        <f t="shared" si="18"/>
        <v>-6.6819460207820924E-3</v>
      </c>
      <c r="D445" s="49">
        <v>163.61000000000001</v>
      </c>
      <c r="E445" s="64">
        <f t="shared" si="19"/>
        <v>-1.3599791159136565E-2</v>
      </c>
      <c r="F445" s="49">
        <v>3.09</v>
      </c>
      <c r="G445" s="65">
        <f t="shared" si="20"/>
        <v>-6.0018009726252819E-2</v>
      </c>
    </row>
    <row r="446" spans="1:7" ht="16">
      <c r="A446" s="44">
        <v>44966</v>
      </c>
      <c r="B446" s="49">
        <v>15828.6</v>
      </c>
      <c r="C446" s="50">
        <f t="shared" si="18"/>
        <v>5.172780049242931E-3</v>
      </c>
      <c r="D446" s="49">
        <v>161.4</v>
      </c>
      <c r="E446" s="64">
        <f t="shared" si="19"/>
        <v>4.636076917478249E-3</v>
      </c>
      <c r="F446" s="49">
        <v>2.91</v>
      </c>
      <c r="G446" s="65">
        <f t="shared" si="20"/>
        <v>-1.0362787035546717E-2</v>
      </c>
    </row>
    <row r="447" spans="1:7" ht="16">
      <c r="A447" s="44">
        <v>44967</v>
      </c>
      <c r="B447" s="49">
        <v>15910.69</v>
      </c>
      <c r="C447" s="50">
        <f t="shared" si="18"/>
        <v>8.8578163070085481E-3</v>
      </c>
      <c r="D447" s="49">
        <v>162.15</v>
      </c>
      <c r="E447" s="64">
        <f t="shared" si="19"/>
        <v>3.693448335352123E-3</v>
      </c>
      <c r="F447" s="49">
        <v>2.88</v>
      </c>
      <c r="G447" s="65">
        <f t="shared" si="20"/>
        <v>3.4133006369458485E-2</v>
      </c>
    </row>
    <row r="448" spans="1:7" ht="16">
      <c r="A448" s="44">
        <v>44970</v>
      </c>
      <c r="B448" s="49">
        <v>16052.25</v>
      </c>
      <c r="C448" s="50">
        <f t="shared" si="18"/>
        <v>-1.6921596088987911E-3</v>
      </c>
      <c r="D448" s="49">
        <v>162.75</v>
      </c>
      <c r="E448" s="64">
        <f t="shared" si="19"/>
        <v>-4.372062754189443E-3</v>
      </c>
      <c r="F448" s="49">
        <v>2.98</v>
      </c>
      <c r="G448" s="65">
        <f t="shared" si="20"/>
        <v>2.6491615446976313E-2</v>
      </c>
    </row>
    <row r="449" spans="1:7" ht="16">
      <c r="A449" s="44">
        <v>44971</v>
      </c>
      <c r="B449" s="49">
        <v>16025.11</v>
      </c>
      <c r="C449" s="50">
        <f t="shared" si="18"/>
        <v>-5.6302512004968719E-4</v>
      </c>
      <c r="D449" s="49">
        <v>162.04</v>
      </c>
      <c r="E449" s="64">
        <f t="shared" si="19"/>
        <v>-1.6614675462947481E-2</v>
      </c>
      <c r="F449" s="49">
        <v>3.06</v>
      </c>
      <c r="G449" s="65">
        <f t="shared" si="20"/>
        <v>3.2157111634531388E-2</v>
      </c>
    </row>
    <row r="450" spans="1:7" ht="16">
      <c r="A450" s="44">
        <v>44972</v>
      </c>
      <c r="B450" s="49">
        <v>16016.09</v>
      </c>
      <c r="C450" s="50">
        <f t="shared" si="18"/>
        <v>-8.9251505057852398E-3</v>
      </c>
      <c r="D450" s="49">
        <v>159.37</v>
      </c>
      <c r="E450" s="64">
        <f t="shared" si="19"/>
        <v>-7.1156749971397204E-3</v>
      </c>
      <c r="F450" s="49">
        <v>3.16</v>
      </c>
      <c r="G450" s="65">
        <f t="shared" si="20"/>
        <v>-4.8631948838036454E-2</v>
      </c>
    </row>
    <row r="451" spans="1:7" ht="16">
      <c r="A451" s="44">
        <v>44973</v>
      </c>
      <c r="B451" s="49">
        <v>15873.78</v>
      </c>
      <c r="C451" s="50">
        <f t="shared" si="18"/>
        <v>-2.1202040865446747E-3</v>
      </c>
      <c r="D451" s="49">
        <v>158.24</v>
      </c>
      <c r="E451" s="64">
        <f t="shared" si="19"/>
        <v>1.3495481474884663E-2</v>
      </c>
      <c r="F451" s="49">
        <v>3.01</v>
      </c>
      <c r="G451" s="65">
        <f t="shared" si="20"/>
        <v>0</v>
      </c>
    </row>
    <row r="452" spans="1:7" ht="16">
      <c r="A452" s="44">
        <v>44974</v>
      </c>
      <c r="B452" s="49">
        <v>15840.16</v>
      </c>
      <c r="C452" s="50">
        <f t="shared" si="18"/>
        <v>-1.7040664884728329E-2</v>
      </c>
      <c r="D452" s="49">
        <v>160.38999999999999</v>
      </c>
      <c r="E452" s="64">
        <f t="shared" si="19"/>
        <v>-1.5013316322320058E-2</v>
      </c>
      <c r="F452" s="49">
        <v>3.01</v>
      </c>
      <c r="G452" s="65">
        <f t="shared" si="20"/>
        <v>-3.3786997577383016E-2</v>
      </c>
    </row>
    <row r="453" spans="1:7" ht="16">
      <c r="A453" s="44">
        <v>44978</v>
      </c>
      <c r="B453" s="49">
        <v>15572.52</v>
      </c>
      <c r="C453" s="50">
        <f t="shared" ref="C453:C515" si="21">LN(B454)-LN(B453)</f>
        <v>-2.6807417829051161E-3</v>
      </c>
      <c r="D453" s="49">
        <v>158</v>
      </c>
      <c r="E453" s="64">
        <f t="shared" ref="E453:E515" si="22">LN(D454)-LN(D453)</f>
        <v>-1.3933753600232635E-3</v>
      </c>
      <c r="F453" s="49">
        <v>2.91</v>
      </c>
      <c r="G453" s="65">
        <f t="shared" ref="G453:G515" si="23">LN(F454)-LN(F453)</f>
        <v>6.8493418455748412E-3</v>
      </c>
    </row>
    <row r="454" spans="1:7" ht="16">
      <c r="A454" s="44">
        <v>44979</v>
      </c>
      <c r="B454" s="49">
        <v>15530.83</v>
      </c>
      <c r="C454" s="50">
        <f t="shared" si="21"/>
        <v>3.4773410332444854E-3</v>
      </c>
      <c r="D454" s="49">
        <v>157.78</v>
      </c>
      <c r="E454" s="64">
        <f t="shared" si="22"/>
        <v>-3.1694716756103247E-4</v>
      </c>
      <c r="F454" s="49">
        <v>2.93</v>
      </c>
      <c r="G454" s="65">
        <f t="shared" si="23"/>
        <v>3.407158321614201E-3</v>
      </c>
    </row>
    <row r="455" spans="1:7" ht="16">
      <c r="A455" s="44">
        <v>44980</v>
      </c>
      <c r="B455" s="49">
        <v>15584.93</v>
      </c>
      <c r="C455" s="50">
        <f t="shared" si="21"/>
        <v>-7.7599337393472467E-3</v>
      </c>
      <c r="D455" s="49">
        <v>157.72999999999999</v>
      </c>
      <c r="E455" s="64">
        <f t="shared" si="22"/>
        <v>-1.1221029435648511E-2</v>
      </c>
      <c r="F455" s="49">
        <v>2.94</v>
      </c>
      <c r="G455" s="65">
        <f t="shared" si="23"/>
        <v>-3.8132869695443938E-2</v>
      </c>
    </row>
    <row r="456" spans="1:7" ht="16">
      <c r="A456" s="44">
        <v>44981</v>
      </c>
      <c r="B456" s="49">
        <v>15464.46</v>
      </c>
      <c r="C456" s="50">
        <f t="shared" si="21"/>
        <v>1.8393028628214125E-3</v>
      </c>
      <c r="D456" s="49">
        <v>155.97</v>
      </c>
      <c r="E456" s="64">
        <f t="shared" si="22"/>
        <v>-2.1822858468159012E-3</v>
      </c>
      <c r="F456" s="49">
        <v>2.83</v>
      </c>
      <c r="G456" s="65">
        <f t="shared" si="23"/>
        <v>-1.0657294473988221E-2</v>
      </c>
    </row>
    <row r="457" spans="1:7" ht="16">
      <c r="A457" s="44">
        <v>44984</v>
      </c>
      <c r="B457" s="49">
        <v>15492.93</v>
      </c>
      <c r="C457" s="50">
        <f t="shared" si="21"/>
        <v>-4.1368797658858369E-3</v>
      </c>
      <c r="D457" s="49">
        <v>155.63</v>
      </c>
      <c r="E457" s="64">
        <f t="shared" si="22"/>
        <v>-1.5345569674660275E-2</v>
      </c>
      <c r="F457" s="49">
        <v>2.8</v>
      </c>
      <c r="G457" s="65">
        <f t="shared" si="23"/>
        <v>-3.5778213478838694E-3</v>
      </c>
    </row>
    <row r="458" spans="1:7" ht="16">
      <c r="A458" s="44">
        <v>44985</v>
      </c>
      <c r="B458" s="49">
        <v>15428.97</v>
      </c>
      <c r="C458" s="50">
        <f t="shared" si="21"/>
        <v>4.7496750475772842E-4</v>
      </c>
      <c r="D458" s="49">
        <v>153.26</v>
      </c>
      <c r="E458" s="64">
        <f t="shared" si="22"/>
        <v>-4.5123184171469433E-3</v>
      </c>
      <c r="F458" s="49">
        <v>2.79</v>
      </c>
      <c r="G458" s="65">
        <f t="shared" si="23"/>
        <v>0</v>
      </c>
    </row>
    <row r="459" spans="1:7" ht="16">
      <c r="A459" s="44">
        <v>44986</v>
      </c>
      <c r="B459" s="49">
        <v>15436.3</v>
      </c>
      <c r="C459" s="50">
        <f t="shared" si="21"/>
        <v>5.6988308938556997E-3</v>
      </c>
      <c r="D459" s="49">
        <v>152.57</v>
      </c>
      <c r="E459" s="64">
        <f t="shared" si="22"/>
        <v>-7.8683369084764365E-4</v>
      </c>
      <c r="F459" s="49">
        <v>2.79</v>
      </c>
      <c r="G459" s="65">
        <f t="shared" si="23"/>
        <v>5.5763574518454151E-2</v>
      </c>
    </row>
    <row r="460" spans="1:7" ht="16">
      <c r="A460" s="44">
        <v>44987</v>
      </c>
      <c r="B460" s="49">
        <v>15524.52</v>
      </c>
      <c r="C460" s="50">
        <f t="shared" si="21"/>
        <v>1.258050528602439E-2</v>
      </c>
      <c r="D460" s="49">
        <v>152.44999999999999</v>
      </c>
      <c r="E460" s="64">
        <f t="shared" si="22"/>
        <v>1.0245790676840727E-2</v>
      </c>
      <c r="F460" s="49">
        <v>2.95</v>
      </c>
      <c r="G460" s="65">
        <f t="shared" si="23"/>
        <v>1.6807118316381375E-2</v>
      </c>
    </row>
    <row r="461" spans="1:7" ht="16">
      <c r="A461" s="44">
        <v>44988</v>
      </c>
      <c r="B461" s="49">
        <v>15721.06</v>
      </c>
      <c r="C461" s="50">
        <f t="shared" si="21"/>
        <v>-1.7010769522727287E-3</v>
      </c>
      <c r="D461" s="49">
        <v>154.02000000000001</v>
      </c>
      <c r="E461" s="64">
        <f t="shared" si="22"/>
        <v>9.9490451764427945E-3</v>
      </c>
      <c r="F461" s="49">
        <v>3</v>
      </c>
      <c r="G461" s="65">
        <f t="shared" si="23"/>
        <v>-3.7355786543769032E-2</v>
      </c>
    </row>
    <row r="462" spans="1:7" ht="16">
      <c r="A462" s="44">
        <v>44991</v>
      </c>
      <c r="B462" s="49">
        <v>15694.34</v>
      </c>
      <c r="C462" s="50">
        <f t="shared" si="21"/>
        <v>-1.6402066721292741E-2</v>
      </c>
      <c r="D462" s="49">
        <v>155.56</v>
      </c>
      <c r="E462" s="64">
        <f t="shared" si="22"/>
        <v>-9.4946619937852361E-3</v>
      </c>
      <c r="F462" s="49">
        <v>2.89</v>
      </c>
      <c r="G462" s="65">
        <f t="shared" si="23"/>
        <v>-1.393750784378156E-2</v>
      </c>
    </row>
    <row r="463" spans="1:7" ht="16">
      <c r="A463" s="44">
        <v>44992</v>
      </c>
      <c r="B463" s="49">
        <v>15439.02</v>
      </c>
      <c r="C463" s="50">
        <f t="shared" si="21"/>
        <v>1.0492343513490709E-4</v>
      </c>
      <c r="D463" s="49">
        <v>154.09</v>
      </c>
      <c r="E463" s="64">
        <f t="shared" si="22"/>
        <v>-7.360397990670009E-3</v>
      </c>
      <c r="F463" s="49">
        <v>2.85</v>
      </c>
      <c r="G463" s="65">
        <f t="shared" si="23"/>
        <v>-1.0582109330536937E-2</v>
      </c>
    </row>
    <row r="464" spans="1:7" ht="16">
      <c r="A464" s="44">
        <v>44993</v>
      </c>
      <c r="B464" s="49">
        <v>15440.64</v>
      </c>
      <c r="C464" s="50">
        <f t="shared" si="21"/>
        <v>-1.9610568210241652E-2</v>
      </c>
      <c r="D464" s="49">
        <v>152.96</v>
      </c>
      <c r="E464" s="64">
        <f t="shared" si="22"/>
        <v>-1.1308470280359195E-2</v>
      </c>
      <c r="F464" s="49">
        <v>2.82</v>
      </c>
      <c r="G464" s="65">
        <f t="shared" si="23"/>
        <v>-2.8778964550043362E-2</v>
      </c>
    </row>
    <row r="465" spans="1:7" ht="16">
      <c r="A465" s="44">
        <v>44994</v>
      </c>
      <c r="B465" s="49">
        <v>15140.79</v>
      </c>
      <c r="C465" s="50">
        <f t="shared" si="21"/>
        <v>-1.6421893685587108E-2</v>
      </c>
      <c r="D465" s="49">
        <v>151.24</v>
      </c>
      <c r="E465" s="64">
        <f t="shared" si="22"/>
        <v>2.4434550707583824E-3</v>
      </c>
      <c r="F465" s="49">
        <v>2.74</v>
      </c>
      <c r="G465" s="65">
        <f t="shared" si="23"/>
        <v>-1.8416726786231186E-2</v>
      </c>
    </row>
    <row r="466" spans="1:7" ht="16">
      <c r="A466" s="44">
        <v>44995</v>
      </c>
      <c r="B466" s="49">
        <v>14894.18</v>
      </c>
      <c r="C466" s="50">
        <f t="shared" si="21"/>
        <v>-8.7536868061235396E-3</v>
      </c>
      <c r="D466" s="49">
        <v>151.61000000000001</v>
      </c>
      <c r="E466" s="64">
        <f t="shared" si="22"/>
        <v>9.518567288283819E-3</v>
      </c>
      <c r="F466" s="49">
        <v>2.69</v>
      </c>
      <c r="G466" s="65">
        <f t="shared" si="23"/>
        <v>1.8416726786231186E-2</v>
      </c>
    </row>
    <row r="467" spans="1:7" ht="16">
      <c r="A467" s="44">
        <v>44998</v>
      </c>
      <c r="B467" s="49">
        <v>14764.37</v>
      </c>
      <c r="C467" s="50">
        <f t="shared" si="21"/>
        <v>1.2142552648965577E-2</v>
      </c>
      <c r="D467" s="49">
        <v>153.06</v>
      </c>
      <c r="E467" s="64">
        <f t="shared" si="22"/>
        <v>5.6029855356216629E-3</v>
      </c>
      <c r="F467" s="49">
        <v>2.74</v>
      </c>
      <c r="G467" s="65">
        <f t="shared" si="23"/>
        <v>3.6429912785009844E-3</v>
      </c>
    </row>
    <row r="468" spans="1:7" ht="16">
      <c r="A468" s="44">
        <v>44999</v>
      </c>
      <c r="B468" s="49">
        <v>14944.74</v>
      </c>
      <c r="C468" s="50">
        <f t="shared" si="21"/>
        <v>-1.9062774428331153E-2</v>
      </c>
      <c r="D468" s="49">
        <v>153.91999999999999</v>
      </c>
      <c r="E468" s="64">
        <f t="shared" si="22"/>
        <v>2.7897640307719129E-3</v>
      </c>
      <c r="F468" s="49">
        <v>2.75</v>
      </c>
      <c r="G468" s="65">
        <f t="shared" si="23"/>
        <v>1.4440684154794381E-2</v>
      </c>
    </row>
    <row r="469" spans="1:7" ht="16">
      <c r="A469" s="44">
        <v>45000</v>
      </c>
      <c r="B469" s="49">
        <v>14662.55</v>
      </c>
      <c r="C469" s="50">
        <f t="shared" si="21"/>
        <v>1.1421612198725839E-2</v>
      </c>
      <c r="D469" s="49">
        <v>154.35</v>
      </c>
      <c r="E469" s="64">
        <f t="shared" si="22"/>
        <v>-2.0753623118014985E-3</v>
      </c>
      <c r="F469" s="49">
        <v>2.79</v>
      </c>
      <c r="G469" s="65">
        <f t="shared" si="23"/>
        <v>-0.40546510810816427</v>
      </c>
    </row>
    <row r="470" spans="1:7" ht="16">
      <c r="A470" s="44">
        <v>45001</v>
      </c>
      <c r="B470" s="49">
        <v>14830.98</v>
      </c>
      <c r="C470" s="50">
        <f t="shared" si="21"/>
        <v>-1.5761778128087656E-2</v>
      </c>
      <c r="D470" s="49">
        <v>154.03</v>
      </c>
      <c r="E470" s="64">
        <f t="shared" si="22"/>
        <v>-1.0769987591503494E-2</v>
      </c>
      <c r="F470" s="49">
        <v>1.86</v>
      </c>
      <c r="G470" s="65">
        <f t="shared" si="23"/>
        <v>-6.6691374498672351E-2</v>
      </c>
    </row>
    <row r="471" spans="1:7" ht="16">
      <c r="A471" s="44">
        <v>45002</v>
      </c>
      <c r="B471" s="49">
        <v>14599.05</v>
      </c>
      <c r="C471" s="50">
        <f t="shared" si="21"/>
        <v>1.2162829609696502E-2</v>
      </c>
      <c r="D471" s="49">
        <v>152.38</v>
      </c>
      <c r="E471" s="64">
        <f t="shared" si="22"/>
        <v>9.8606604308972834E-3</v>
      </c>
      <c r="F471" s="49">
        <v>1.74</v>
      </c>
      <c r="G471" s="65">
        <f t="shared" si="23"/>
        <v>-1.7391742711869163E-2</v>
      </c>
    </row>
    <row r="472" spans="1:7" ht="16">
      <c r="A472" s="44">
        <v>45005</v>
      </c>
      <c r="B472" s="49">
        <v>14777.7</v>
      </c>
      <c r="C472" s="50">
        <f t="shared" si="21"/>
        <v>1.3993807775412037E-2</v>
      </c>
      <c r="D472" s="49">
        <v>153.88999999999999</v>
      </c>
      <c r="E472" s="64">
        <f t="shared" si="22"/>
        <v>0</v>
      </c>
      <c r="F472" s="49">
        <v>1.71</v>
      </c>
      <c r="G472" s="65">
        <f t="shared" si="23"/>
        <v>2.8820438535491988E-2</v>
      </c>
    </row>
    <row r="473" spans="1:7" ht="16">
      <c r="A473" s="44">
        <v>45006</v>
      </c>
      <c r="B473" s="49">
        <v>14985.95</v>
      </c>
      <c r="C473" s="50">
        <f t="shared" si="21"/>
        <v>-1.647494139855965E-2</v>
      </c>
      <c r="D473" s="49">
        <v>153.88999999999999</v>
      </c>
      <c r="E473" s="64">
        <f t="shared" si="22"/>
        <v>-1.8627153643079097E-2</v>
      </c>
      <c r="F473" s="49">
        <v>1.76</v>
      </c>
      <c r="G473" s="65">
        <f t="shared" si="23"/>
        <v>-7.673379423138954E-2</v>
      </c>
    </row>
    <row r="474" spans="1:7" ht="16">
      <c r="A474" s="44">
        <v>45007</v>
      </c>
      <c r="B474" s="49">
        <v>14741.08</v>
      </c>
      <c r="C474" s="50">
        <f t="shared" si="21"/>
        <v>-3.2656030053548335E-3</v>
      </c>
      <c r="D474" s="49">
        <v>151.05000000000001</v>
      </c>
      <c r="E474" s="64">
        <f t="shared" si="22"/>
        <v>5.294857493476357E-4</v>
      </c>
      <c r="F474" s="49">
        <v>1.63</v>
      </c>
      <c r="G474" s="65">
        <f t="shared" si="23"/>
        <v>1.8237587549780943E-2</v>
      </c>
    </row>
    <row r="475" spans="1:7" ht="16">
      <c r="A475" s="44">
        <v>45008</v>
      </c>
      <c r="B475" s="49">
        <v>14693.02</v>
      </c>
      <c r="C475" s="50">
        <f t="shared" si="21"/>
        <v>4.4513799246974628E-3</v>
      </c>
      <c r="D475" s="49">
        <v>151.13</v>
      </c>
      <c r="E475" s="64">
        <f t="shared" si="22"/>
        <v>1.0007325598857975E-2</v>
      </c>
      <c r="F475" s="49">
        <v>1.66</v>
      </c>
      <c r="G475" s="65">
        <f t="shared" si="23"/>
        <v>1.1976191046715656E-2</v>
      </c>
    </row>
    <row r="476" spans="1:7" ht="16">
      <c r="A476" s="44">
        <v>45009</v>
      </c>
      <c r="B476" s="49">
        <v>14758.57</v>
      </c>
      <c r="C476" s="50">
        <f t="shared" si="21"/>
        <v>9.191584611098591E-3</v>
      </c>
      <c r="D476" s="49">
        <v>152.65</v>
      </c>
      <c r="E476" s="64">
        <f t="shared" si="22"/>
        <v>4.2490666968815205E-3</v>
      </c>
      <c r="F476" s="49">
        <v>1.68</v>
      </c>
      <c r="G476" s="65">
        <f t="shared" si="23"/>
        <v>5.9347355198146046E-3</v>
      </c>
    </row>
    <row r="477" spans="1:7" ht="16">
      <c r="A477" s="44">
        <v>45012</v>
      </c>
      <c r="B477" s="49">
        <v>14894.85</v>
      </c>
      <c r="C477" s="50">
        <f t="shared" si="21"/>
        <v>3.6523050095347287E-3</v>
      </c>
      <c r="D477" s="49">
        <v>153.30000000000001</v>
      </c>
      <c r="E477" s="64">
        <f t="shared" si="22"/>
        <v>-9.7011772891466563E-3</v>
      </c>
      <c r="F477" s="49">
        <v>1.69</v>
      </c>
      <c r="G477" s="65">
        <f t="shared" si="23"/>
        <v>-2.3953241022492966E-2</v>
      </c>
    </row>
    <row r="478" spans="1:7" ht="16">
      <c r="A478" s="44">
        <v>45013</v>
      </c>
      <c r="B478" s="49">
        <v>14949.35</v>
      </c>
      <c r="C478" s="50">
        <f t="shared" si="21"/>
        <v>1.1612420591609052E-2</v>
      </c>
      <c r="D478" s="49">
        <v>151.82</v>
      </c>
      <c r="E478" s="64">
        <f t="shared" si="22"/>
        <v>9.7664067337408511E-3</v>
      </c>
      <c r="F478" s="49">
        <v>1.65</v>
      </c>
      <c r="G478" s="65">
        <f t="shared" si="23"/>
        <v>0</v>
      </c>
    </row>
    <row r="479" spans="1:7" ht="16">
      <c r="A479" s="44">
        <v>45014</v>
      </c>
      <c r="B479" s="49">
        <v>15123.96</v>
      </c>
      <c r="C479" s="50">
        <f t="shared" si="21"/>
        <v>5.0540016661635434E-3</v>
      </c>
      <c r="D479" s="49">
        <v>153.31</v>
      </c>
      <c r="E479" s="64">
        <f t="shared" si="22"/>
        <v>7.8242163475206183E-4</v>
      </c>
      <c r="F479" s="49">
        <v>1.65</v>
      </c>
      <c r="G479" s="65">
        <f t="shared" si="23"/>
        <v>2.9852963149681222E-2</v>
      </c>
    </row>
    <row r="480" spans="1:7" ht="16">
      <c r="A480" s="44">
        <v>45015</v>
      </c>
      <c r="B480" s="49">
        <v>15200.59</v>
      </c>
      <c r="C480" s="50">
        <f t="shared" si="21"/>
        <v>1.1402717128522255E-2</v>
      </c>
      <c r="D480" s="49">
        <v>153.43</v>
      </c>
      <c r="E480" s="64">
        <f t="shared" si="22"/>
        <v>1.0180679962132011E-2</v>
      </c>
      <c r="F480" s="49">
        <v>1.7</v>
      </c>
      <c r="G480" s="65">
        <f t="shared" si="23"/>
        <v>5.7158413839948685E-2</v>
      </c>
    </row>
    <row r="481" spans="1:7" ht="16">
      <c r="A481" s="44">
        <v>45016</v>
      </c>
      <c r="B481" s="49">
        <v>15374.91</v>
      </c>
      <c r="C481" s="50">
        <f t="shared" si="21"/>
        <v>7.3124288581070118E-3</v>
      </c>
      <c r="D481" s="49">
        <v>155</v>
      </c>
      <c r="E481" s="64">
        <f t="shared" si="22"/>
        <v>1.1864817717440523E-2</v>
      </c>
      <c r="F481" s="49">
        <v>1.8</v>
      </c>
      <c r="G481" s="65">
        <f t="shared" si="23"/>
        <v>3.8151765964376305E-2</v>
      </c>
    </row>
    <row r="482" spans="1:7" ht="16">
      <c r="A482" s="44">
        <v>45019</v>
      </c>
      <c r="B482" s="49">
        <v>15487.75</v>
      </c>
      <c r="C482" s="50">
        <f t="shared" si="21"/>
        <v>-7.3644630367688535E-3</v>
      </c>
      <c r="D482" s="49">
        <v>156.85</v>
      </c>
      <c r="E482" s="64">
        <f t="shared" si="22"/>
        <v>1.040156520764679E-2</v>
      </c>
      <c r="F482" s="49">
        <v>1.87</v>
      </c>
      <c r="G482" s="65">
        <f t="shared" si="23"/>
        <v>3.1581572050298767E-2</v>
      </c>
    </row>
    <row r="483" spans="1:7" ht="16">
      <c r="A483" s="44">
        <v>45020</v>
      </c>
      <c r="B483" s="49">
        <v>15374.11</v>
      </c>
      <c r="C483" s="50">
        <f t="shared" si="21"/>
        <v>-3.8058224337511604E-4</v>
      </c>
      <c r="D483" s="49">
        <v>158.49</v>
      </c>
      <c r="E483" s="64">
        <f t="shared" si="22"/>
        <v>4.3944126757065938E-2</v>
      </c>
      <c r="F483" s="49">
        <v>1.93</v>
      </c>
      <c r="G483" s="65">
        <f t="shared" si="23"/>
        <v>-1.5666116744399439E-2</v>
      </c>
    </row>
    <row r="484" spans="1:7" ht="16">
      <c r="A484" s="44">
        <v>45021</v>
      </c>
      <c r="B484" s="49">
        <v>15368.26</v>
      </c>
      <c r="C484" s="50">
        <f t="shared" si="21"/>
        <v>7.0705191255981958E-4</v>
      </c>
      <c r="D484" s="49">
        <v>165.61</v>
      </c>
      <c r="E484" s="64">
        <f t="shared" si="22"/>
        <v>-2.7814747646015547E-3</v>
      </c>
      <c r="F484" s="49">
        <v>1.9</v>
      </c>
      <c r="G484" s="65">
        <f t="shared" si="23"/>
        <v>-1.0582109330536937E-2</v>
      </c>
    </row>
    <row r="485" spans="1:7" ht="16">
      <c r="A485" s="44">
        <v>45022</v>
      </c>
      <c r="B485" s="49">
        <v>15379.13</v>
      </c>
      <c r="C485" s="50">
        <f t="shared" si="21"/>
        <v>3.1194933093576793E-3</v>
      </c>
      <c r="D485" s="49">
        <v>165.15</v>
      </c>
      <c r="E485" s="64">
        <f t="shared" si="22"/>
        <v>-5.0384056565500046E-3</v>
      </c>
      <c r="F485" s="49">
        <v>1.88</v>
      </c>
      <c r="G485" s="65">
        <f t="shared" si="23"/>
        <v>-1.0695289116747775E-2</v>
      </c>
    </row>
    <row r="486" spans="1:7" ht="16">
      <c r="A486" s="44">
        <v>45026</v>
      </c>
      <c r="B486" s="49">
        <v>15427.18</v>
      </c>
      <c r="C486" s="50">
        <f t="shared" si="21"/>
        <v>6.0579025319018598E-3</v>
      </c>
      <c r="D486" s="49">
        <v>164.32</v>
      </c>
      <c r="E486" s="64">
        <f t="shared" si="22"/>
        <v>-3.0433062713974834E-4</v>
      </c>
      <c r="F486" s="49">
        <v>1.86</v>
      </c>
      <c r="G486" s="65">
        <f t="shared" si="23"/>
        <v>-5.3908486348764884E-3</v>
      </c>
    </row>
    <row r="487" spans="1:7" ht="16">
      <c r="A487" s="44">
        <v>45027</v>
      </c>
      <c r="B487" s="49">
        <v>15520.92</v>
      </c>
      <c r="C487" s="50">
        <f t="shared" si="21"/>
        <v>-1.288769223421582E-3</v>
      </c>
      <c r="D487" s="49">
        <v>164.27</v>
      </c>
      <c r="E487" s="64">
        <f t="shared" si="22"/>
        <v>-2.1329116224642064E-3</v>
      </c>
      <c r="F487" s="49">
        <v>1.85</v>
      </c>
      <c r="G487" s="65">
        <f t="shared" si="23"/>
        <v>-2.1858793812499111E-2</v>
      </c>
    </row>
    <row r="488" spans="1:7" ht="16">
      <c r="A488" s="44">
        <v>45028</v>
      </c>
      <c r="B488" s="49">
        <v>15500.93</v>
      </c>
      <c r="C488" s="50">
        <f t="shared" si="21"/>
        <v>8.3490624656210599E-3</v>
      </c>
      <c r="D488" s="49">
        <v>163.92</v>
      </c>
      <c r="E488" s="64">
        <f t="shared" si="22"/>
        <v>1.3271715572341414E-2</v>
      </c>
      <c r="F488" s="49">
        <v>1.81</v>
      </c>
      <c r="G488" s="65">
        <f t="shared" si="23"/>
        <v>1.0989121575595173E-2</v>
      </c>
    </row>
    <row r="489" spans="1:7" ht="16">
      <c r="A489" s="44">
        <v>45029</v>
      </c>
      <c r="B489" s="49">
        <v>15630.89</v>
      </c>
      <c r="C489" s="50">
        <f t="shared" si="21"/>
        <v>-1.8640742805029475E-3</v>
      </c>
      <c r="D489" s="49">
        <v>166.11</v>
      </c>
      <c r="E489" s="64">
        <f t="shared" si="22"/>
        <v>-1.6267513754621987E-3</v>
      </c>
      <c r="F489" s="49">
        <v>1.83</v>
      </c>
      <c r="G489" s="65">
        <f t="shared" si="23"/>
        <v>-2.2100347000665876E-2</v>
      </c>
    </row>
    <row r="490" spans="1:7" ht="16">
      <c r="A490" s="44">
        <v>45030</v>
      </c>
      <c r="B490" s="49">
        <v>15601.78</v>
      </c>
      <c r="C490" s="50">
        <f t="shared" si="21"/>
        <v>4.2571055385725032E-3</v>
      </c>
      <c r="D490" s="49">
        <v>165.84</v>
      </c>
      <c r="E490" s="64">
        <f t="shared" si="22"/>
        <v>-1.025610177078029E-3</v>
      </c>
      <c r="F490" s="49">
        <v>1.79</v>
      </c>
      <c r="G490" s="65">
        <f t="shared" si="23"/>
        <v>2.7549951768230607E-2</v>
      </c>
    </row>
    <row r="491" spans="1:7" ht="16">
      <c r="A491" s="44">
        <v>45033</v>
      </c>
      <c r="B491" s="49">
        <v>15668.34</v>
      </c>
      <c r="C491" s="50">
        <f t="shared" si="21"/>
        <v>1.0601755832215787E-3</v>
      </c>
      <c r="D491" s="49">
        <v>165.67</v>
      </c>
      <c r="E491" s="64">
        <f t="shared" si="22"/>
        <v>-2.8531383093598706E-2</v>
      </c>
      <c r="F491" s="49">
        <v>1.84</v>
      </c>
      <c r="G491" s="65">
        <f t="shared" si="23"/>
        <v>-5.4496047675647308E-3</v>
      </c>
    </row>
    <row r="492" spans="1:7" ht="16">
      <c r="A492" s="44">
        <v>45034</v>
      </c>
      <c r="B492" s="49">
        <v>15684.96</v>
      </c>
      <c r="C492" s="50">
        <f t="shared" si="21"/>
        <v>-2.0000912898812118E-3</v>
      </c>
      <c r="D492" s="49">
        <v>161.01</v>
      </c>
      <c r="E492" s="64">
        <f t="shared" si="22"/>
        <v>9.3961252582372978E-3</v>
      </c>
      <c r="F492" s="49">
        <v>1.83</v>
      </c>
      <c r="G492" s="65">
        <f t="shared" si="23"/>
        <v>-1.0989121575595173E-2</v>
      </c>
    </row>
    <row r="493" spans="1:7" ht="16">
      <c r="A493" s="44">
        <v>45035</v>
      </c>
      <c r="B493" s="49">
        <v>15653.62</v>
      </c>
      <c r="C493" s="50">
        <f t="shared" si="21"/>
        <v>-4.525474035979471E-3</v>
      </c>
      <c r="D493" s="49">
        <v>162.53</v>
      </c>
      <c r="E493" s="64">
        <f t="shared" si="22"/>
        <v>6.4395671917436559E-3</v>
      </c>
      <c r="F493" s="49">
        <v>1.81</v>
      </c>
      <c r="G493" s="65">
        <f t="shared" si="23"/>
        <v>-1.1111225425070703E-2</v>
      </c>
    </row>
    <row r="494" spans="1:7" ht="16">
      <c r="A494" s="44">
        <v>45036</v>
      </c>
      <c r="B494" s="49">
        <v>15582.94</v>
      </c>
      <c r="C494" s="50">
        <f t="shared" si="21"/>
        <v>-2.5736581419089077E-4</v>
      </c>
      <c r="D494" s="49">
        <v>163.58000000000001</v>
      </c>
      <c r="E494" s="64">
        <f t="shared" si="22"/>
        <v>-5.4556177857492116E-3</v>
      </c>
      <c r="F494" s="49">
        <v>1.79</v>
      </c>
      <c r="G494" s="65">
        <f t="shared" si="23"/>
        <v>5.5710450494553809E-3</v>
      </c>
    </row>
    <row r="495" spans="1:7" ht="16">
      <c r="A495" s="44">
        <v>45037</v>
      </c>
      <c r="B495" s="49">
        <v>15578.93</v>
      </c>
      <c r="C495" s="50">
        <f t="shared" si="21"/>
        <v>1.781589689866081E-3</v>
      </c>
      <c r="D495" s="49">
        <v>162.69</v>
      </c>
      <c r="E495" s="64">
        <f t="shared" si="22"/>
        <v>6.0667526822379969E-3</v>
      </c>
      <c r="F495" s="49">
        <v>1.8</v>
      </c>
      <c r="G495" s="65">
        <f t="shared" si="23"/>
        <v>-2.8170876966696401E-2</v>
      </c>
    </row>
    <row r="496" spans="1:7" ht="16">
      <c r="A496" s="44">
        <v>45040</v>
      </c>
      <c r="B496" s="49">
        <v>15606.71</v>
      </c>
      <c r="C496" s="50">
        <f t="shared" si="21"/>
        <v>-1.5704430958185966E-2</v>
      </c>
      <c r="D496" s="49">
        <v>163.68</v>
      </c>
      <c r="E496" s="64">
        <f t="shared" si="22"/>
        <v>9.1224861792538192E-3</v>
      </c>
      <c r="F496" s="49">
        <v>1.75</v>
      </c>
      <c r="G496" s="65">
        <f t="shared" si="23"/>
        <v>-5.2798185566970801E-2</v>
      </c>
    </row>
    <row r="497" spans="1:7" ht="16">
      <c r="A497" s="44">
        <v>45041</v>
      </c>
      <c r="B497" s="49">
        <v>15363.53</v>
      </c>
      <c r="C497" s="50">
        <f t="shared" si="21"/>
        <v>-8.8225934957595342E-3</v>
      </c>
      <c r="D497" s="49">
        <v>165.18</v>
      </c>
      <c r="E497" s="64">
        <f t="shared" si="22"/>
        <v>-1.5619597602879232E-2</v>
      </c>
      <c r="F497" s="49">
        <v>1.66</v>
      </c>
      <c r="G497" s="65">
        <f t="shared" si="23"/>
        <v>0</v>
      </c>
    </row>
    <row r="498" spans="1:7" ht="16">
      <c r="A498" s="44">
        <v>45042</v>
      </c>
      <c r="B498" s="49">
        <v>15228.58</v>
      </c>
      <c r="C498" s="50">
        <f t="shared" si="21"/>
        <v>1.3246021653968043E-2</v>
      </c>
      <c r="D498" s="49">
        <v>162.62</v>
      </c>
      <c r="E498" s="64">
        <f t="shared" si="22"/>
        <v>2.3340100270710096E-3</v>
      </c>
      <c r="F498" s="49">
        <v>1.66</v>
      </c>
      <c r="G498" s="65">
        <f t="shared" si="23"/>
        <v>6.0060240602118897E-3</v>
      </c>
    </row>
    <row r="499" spans="1:7" ht="16">
      <c r="A499" s="44">
        <v>45043</v>
      </c>
      <c r="B499" s="49">
        <v>15431.64</v>
      </c>
      <c r="C499" s="50">
        <f t="shared" si="21"/>
        <v>7.3757045688100931E-3</v>
      </c>
      <c r="D499" s="49">
        <v>163</v>
      </c>
      <c r="E499" s="64">
        <f t="shared" si="22"/>
        <v>4.2852835703266479E-3</v>
      </c>
      <c r="F499" s="49">
        <v>1.67</v>
      </c>
      <c r="G499" s="65">
        <f t="shared" si="23"/>
        <v>-6.0060240602118897E-3</v>
      </c>
    </row>
    <row r="500" spans="1:7" ht="16">
      <c r="A500" s="44">
        <v>45044</v>
      </c>
      <c r="B500" s="49">
        <v>15545.88</v>
      </c>
      <c r="C500" s="50">
        <f t="shared" si="21"/>
        <v>-6.4282055648767766E-4</v>
      </c>
      <c r="D500" s="49">
        <v>163.69999999999999</v>
      </c>
      <c r="E500" s="64">
        <f t="shared" si="22"/>
        <v>-6.1106020844192699E-4</v>
      </c>
      <c r="F500" s="49">
        <v>1.66</v>
      </c>
      <c r="G500" s="65">
        <f t="shared" si="23"/>
        <v>-5.574198300823513E-2</v>
      </c>
    </row>
    <row r="501" spans="1:7" ht="16">
      <c r="A501" s="44">
        <v>45047</v>
      </c>
      <c r="B501" s="49">
        <v>15535.89</v>
      </c>
      <c r="C501" s="50">
        <f t="shared" si="21"/>
        <v>-1.4348168352420032E-2</v>
      </c>
      <c r="D501" s="49">
        <v>163.6</v>
      </c>
      <c r="E501" s="64">
        <f t="shared" si="22"/>
        <v>8.7028513868290247E-3</v>
      </c>
      <c r="F501" s="49">
        <v>1.57</v>
      </c>
      <c r="G501" s="65">
        <f t="shared" si="23"/>
        <v>-3.2365284502031688E-2</v>
      </c>
    </row>
    <row r="502" spans="1:7" ht="16">
      <c r="A502" s="44">
        <v>45048</v>
      </c>
      <c r="B502" s="49">
        <v>15314.57</v>
      </c>
      <c r="C502" s="50">
        <f t="shared" si="21"/>
        <v>-5.2847373360247474E-3</v>
      </c>
      <c r="D502" s="49">
        <v>165.03</v>
      </c>
      <c r="E502" s="64">
        <f t="shared" si="22"/>
        <v>-1.3174938970006878E-2</v>
      </c>
      <c r="F502" s="49">
        <v>1.52</v>
      </c>
      <c r="G502" s="65">
        <f t="shared" si="23"/>
        <v>1.3072081567352789E-2</v>
      </c>
    </row>
    <row r="503" spans="1:7" ht="16">
      <c r="A503" s="44">
        <v>45049</v>
      </c>
      <c r="B503" s="49">
        <v>15233.85</v>
      </c>
      <c r="C503" s="50">
        <f t="shared" si="21"/>
        <v>-7.6556671583212221E-3</v>
      </c>
      <c r="D503" s="49">
        <v>162.87</v>
      </c>
      <c r="E503" s="64">
        <f t="shared" si="22"/>
        <v>-4.5538540234915104E-3</v>
      </c>
      <c r="F503" s="49">
        <v>1.54</v>
      </c>
      <c r="G503" s="65">
        <f t="shared" si="23"/>
        <v>-3.3006296468170049E-2</v>
      </c>
    </row>
    <row r="504" spans="1:7" ht="16">
      <c r="A504" s="44">
        <v>45050</v>
      </c>
      <c r="B504" s="49">
        <v>15117.67</v>
      </c>
      <c r="C504" s="50">
        <f t="shared" si="21"/>
        <v>1.7260271100159486E-2</v>
      </c>
      <c r="D504" s="49">
        <v>162.13</v>
      </c>
      <c r="E504" s="64">
        <f t="shared" si="22"/>
        <v>3.3865984770464763E-3</v>
      </c>
      <c r="F504" s="49">
        <v>1.49</v>
      </c>
      <c r="G504" s="65">
        <f t="shared" si="23"/>
        <v>7.1227509288367852E-2</v>
      </c>
    </row>
    <row r="505" spans="1:7" ht="16">
      <c r="A505" s="44">
        <v>45051</v>
      </c>
      <c r="B505" s="49">
        <v>15380.87</v>
      </c>
      <c r="C505" s="50">
        <f t="shared" si="21"/>
        <v>6.7593611597693837E-4</v>
      </c>
      <c r="D505" s="49">
        <v>162.68</v>
      </c>
      <c r="E505" s="64">
        <f t="shared" si="22"/>
        <v>-2.2769941220452949E-3</v>
      </c>
      <c r="F505" s="49">
        <v>1.6</v>
      </c>
      <c r="G505" s="65">
        <f t="shared" si="23"/>
        <v>0</v>
      </c>
    </row>
    <row r="506" spans="1:7" ht="16">
      <c r="A506" s="44">
        <v>45054</v>
      </c>
      <c r="B506" s="49">
        <v>15391.27</v>
      </c>
      <c r="C506" s="50">
        <f t="shared" si="21"/>
        <v>-2.5019463950410881E-3</v>
      </c>
      <c r="D506" s="49">
        <v>162.31</v>
      </c>
      <c r="E506" s="64">
        <f t="shared" si="22"/>
        <v>-7.7932111397709392E-3</v>
      </c>
      <c r="F506" s="49">
        <v>1.6</v>
      </c>
      <c r="G506" s="65">
        <f t="shared" si="23"/>
        <v>0.10660973505825816</v>
      </c>
    </row>
    <row r="507" spans="1:7" ht="16">
      <c r="A507" s="44">
        <v>45055</v>
      </c>
      <c r="B507" s="49">
        <v>15352.81</v>
      </c>
      <c r="C507" s="50">
        <f t="shared" si="21"/>
        <v>-1.839411877843844E-2</v>
      </c>
      <c r="D507" s="49">
        <v>161.05000000000001</v>
      </c>
      <c r="E507" s="64">
        <f t="shared" si="22"/>
        <v>3.7186283942345355E-3</v>
      </c>
      <c r="F507" s="49">
        <v>1.78</v>
      </c>
      <c r="G507" s="65">
        <f t="shared" si="23"/>
        <v>0.18885447783557763</v>
      </c>
    </row>
    <row r="508" spans="1:7" ht="16">
      <c r="A508" s="44">
        <v>45056</v>
      </c>
      <c r="B508" s="49">
        <v>15072.99</v>
      </c>
      <c r="C508" s="50">
        <f t="shared" si="21"/>
        <v>1.2531784786572686E-2</v>
      </c>
      <c r="D508" s="49">
        <v>161.65</v>
      </c>
      <c r="E508" s="64">
        <f t="shared" si="22"/>
        <v>-4.0912529172398848E-3</v>
      </c>
      <c r="F508" s="49">
        <v>2.15</v>
      </c>
      <c r="G508" s="65">
        <f t="shared" si="23"/>
        <v>-1.8779894651596352E-2</v>
      </c>
    </row>
    <row r="509" spans="1:7" ht="16">
      <c r="A509" s="44">
        <v>45057</v>
      </c>
      <c r="B509" s="49">
        <v>15263.07</v>
      </c>
      <c r="C509" s="50">
        <f t="shared" si="21"/>
        <v>-1.095399138618447E-3</v>
      </c>
      <c r="D509" s="49">
        <v>160.99</v>
      </c>
      <c r="E509" s="64">
        <f t="shared" si="22"/>
        <v>-1.3052803543880387E-3</v>
      </c>
      <c r="F509" s="49">
        <v>2.11</v>
      </c>
      <c r="G509" s="65">
        <f t="shared" si="23"/>
        <v>-2.398196468648528E-2</v>
      </c>
    </row>
    <row r="510" spans="1:7" ht="16">
      <c r="A510" s="44">
        <v>45058</v>
      </c>
      <c r="B510" s="49">
        <v>15246.36</v>
      </c>
      <c r="C510" s="50">
        <f t="shared" si="21"/>
        <v>4.985466141976147E-3</v>
      </c>
      <c r="D510" s="49">
        <v>160.78</v>
      </c>
      <c r="E510" s="64">
        <f t="shared" si="22"/>
        <v>-7.679618175561842E-3</v>
      </c>
      <c r="F510" s="49">
        <v>2.06</v>
      </c>
      <c r="G510" s="65">
        <f t="shared" si="23"/>
        <v>-8.0852096629095094E-2</v>
      </c>
    </row>
    <row r="511" spans="1:7" ht="16">
      <c r="A511" s="44">
        <v>45061</v>
      </c>
      <c r="B511" s="49">
        <v>15322.56</v>
      </c>
      <c r="C511" s="50">
        <f t="shared" si="21"/>
        <v>-1.2696295998507523E-2</v>
      </c>
      <c r="D511" s="49">
        <v>159.55000000000001</v>
      </c>
      <c r="E511" s="64">
        <f t="shared" si="22"/>
        <v>-1.3170687720327479E-3</v>
      </c>
      <c r="F511" s="49">
        <v>1.9</v>
      </c>
      <c r="G511" s="65">
        <f t="shared" si="23"/>
        <v>-3.2088314551500408E-2</v>
      </c>
    </row>
    <row r="512" spans="1:7" ht="16">
      <c r="A512" s="44">
        <v>45062</v>
      </c>
      <c r="B512" s="49">
        <v>15129.25</v>
      </c>
      <c r="C512" s="50">
        <f t="shared" si="21"/>
        <v>1.2132262517567938E-2</v>
      </c>
      <c r="D512" s="49">
        <v>159.34</v>
      </c>
      <c r="E512" s="64">
        <f t="shared" si="22"/>
        <v>-2.1989767916021918E-3</v>
      </c>
      <c r="F512" s="49">
        <v>1.84</v>
      </c>
      <c r="G512" s="65">
        <f t="shared" si="23"/>
        <v>-2.1978906718775226E-2</v>
      </c>
    </row>
    <row r="513" spans="1:10" ht="16">
      <c r="A513" s="44">
        <v>45063</v>
      </c>
      <c r="B513" s="49">
        <v>15313.92</v>
      </c>
      <c r="C513" s="50">
        <f t="shared" si="21"/>
        <v>2.0554911369128348E-3</v>
      </c>
      <c r="D513" s="49">
        <v>158.99</v>
      </c>
      <c r="E513" s="64">
        <f t="shared" si="22"/>
        <v>-3.2129047703222113E-3</v>
      </c>
      <c r="F513" s="49">
        <v>1.8</v>
      </c>
      <c r="G513" s="65">
        <f t="shared" si="23"/>
        <v>-2.8170876966696401E-2</v>
      </c>
    </row>
    <row r="514" spans="1:10" ht="16">
      <c r="A514" s="44">
        <v>45064</v>
      </c>
      <c r="B514" s="49">
        <v>15345.43</v>
      </c>
      <c r="C514" s="50">
        <f t="shared" si="21"/>
        <v>-1.3766009396007917E-3</v>
      </c>
      <c r="D514" s="49">
        <v>158.47999999999999</v>
      </c>
      <c r="E514" s="64">
        <f t="shared" si="22"/>
        <v>2.7096018342493977E-3</v>
      </c>
      <c r="F514" s="49">
        <v>1.75</v>
      </c>
      <c r="G514" s="65">
        <f t="shared" si="23"/>
        <v>-2.8987536873252284E-2</v>
      </c>
    </row>
    <row r="515" spans="1:10" ht="16">
      <c r="A515" s="44">
        <v>45065</v>
      </c>
      <c r="B515" s="49">
        <v>15324.32</v>
      </c>
      <c r="C515" s="50" t="e">
        <f t="shared" si="21"/>
        <v>#NUM!</v>
      </c>
      <c r="D515" s="49">
        <v>158.91</v>
      </c>
      <c r="E515" s="64" t="e">
        <f t="shared" si="22"/>
        <v>#NUM!</v>
      </c>
      <c r="F515" s="49">
        <v>1.7</v>
      </c>
      <c r="G515" s="65" t="e">
        <f t="shared" si="23"/>
        <v>#NUM!</v>
      </c>
    </row>
    <row r="516" spans="1:10" ht="5" customHeight="1">
      <c r="A516" s="45"/>
      <c r="B516" s="51"/>
      <c r="C516" s="51"/>
      <c r="D516" s="51"/>
      <c r="E516" s="51"/>
      <c r="F516" s="51"/>
      <c r="G516" s="51"/>
      <c r="H516" s="47"/>
      <c r="I516" s="47"/>
      <c r="J516" s="239"/>
    </row>
    <row r="517" spans="1:10">
      <c r="A517" s="46" t="s">
        <v>1152</v>
      </c>
      <c r="B517" s="52"/>
      <c r="C517" s="53">
        <f>AVERAGE(C4:C514)</f>
        <v>-1.4665117840207767E-4</v>
      </c>
      <c r="D517" s="52"/>
      <c r="E517" s="53">
        <f>AVERAGE(E4:E514)</f>
        <v>-1.3512212956557192E-4</v>
      </c>
      <c r="F517" s="52"/>
      <c r="G517" s="53">
        <f>AVERAGE(G4:G514)</f>
        <v>-4.467676018983428E-3</v>
      </c>
    </row>
    <row r="519" spans="1:10">
      <c r="A519" s="48" t="s">
        <v>1153</v>
      </c>
      <c r="B519" s="54"/>
      <c r="C519" s="55">
        <f>C517*$B$532</f>
        <v>-5.3527680116758347E-2</v>
      </c>
      <c r="D519" s="54"/>
      <c r="E519" s="55">
        <f t="shared" ref="E519:G519" si="24">E517*$B$532</f>
        <v>-4.9319577291433749E-2</v>
      </c>
      <c r="F519" s="54"/>
      <c r="G519" s="55">
        <f t="shared" si="24"/>
        <v>-1.6307017469289513</v>
      </c>
    </row>
    <row r="520" spans="1:10">
      <c r="A520" s="48" t="s">
        <v>1154</v>
      </c>
      <c r="B520" s="56"/>
      <c r="C520" s="57">
        <f>VAR(C4:C514)</f>
        <v>1.1983876618107276E-4</v>
      </c>
      <c r="D520" s="56"/>
      <c r="E520" s="57">
        <f t="shared" ref="E520:G520" si="25">VAR(E4:E514)</f>
        <v>1.0179265836088198E-4</v>
      </c>
      <c r="F520" s="56"/>
      <c r="G520" s="57">
        <f t="shared" si="25"/>
        <v>2.4771093663538551E-3</v>
      </c>
    </row>
    <row r="521" spans="1:10">
      <c r="A521" s="48" t="s">
        <v>1155</v>
      </c>
      <c r="B521" s="56"/>
      <c r="C521" s="57">
        <f>STDEV(C4:C514)</f>
        <v>1.0947089393125132E-2</v>
      </c>
      <c r="D521" s="56"/>
      <c r="E521" s="57">
        <f t="shared" ref="E521:G521" si="26">STDEV(E4:E514)</f>
        <v>1.0089234775783641E-2</v>
      </c>
      <c r="F521" s="56"/>
      <c r="G521" s="57">
        <f t="shared" si="26"/>
        <v>4.9770567269761506E-2</v>
      </c>
    </row>
    <row r="522" spans="1:10">
      <c r="A522" s="48" t="s">
        <v>1156</v>
      </c>
      <c r="B522" s="56"/>
      <c r="C522" s="58" t="s">
        <v>49</v>
      </c>
      <c r="D522" s="56"/>
      <c r="E522" s="62">
        <f>COVAR(E4:E514,C4:C514)</f>
        <v>4.2402262358840367E-5</v>
      </c>
      <c r="F522" s="56"/>
      <c r="G522" s="56">
        <f t="shared" ref="G522" si="27">COVAR(G4:G514,E4:E514)</f>
        <v>5.0072586975430159E-5</v>
      </c>
    </row>
    <row r="523" spans="1:10">
      <c r="A523" s="48" t="s">
        <v>1157</v>
      </c>
      <c r="B523" s="56"/>
      <c r="C523" s="57">
        <f>C520*$B$532</f>
        <v>4.3741149656091556E-2</v>
      </c>
      <c r="D523" s="56"/>
      <c r="E523" s="57">
        <f t="shared" ref="E523:G523" si="28">E520*$B$532</f>
        <v>3.7154320301721923E-2</v>
      </c>
      <c r="F523" s="56"/>
      <c r="G523" s="57">
        <f t="shared" si="28"/>
        <v>0.90414491871915714</v>
      </c>
    </row>
    <row r="524" spans="1:10">
      <c r="A524" s="48" t="s">
        <v>1158</v>
      </c>
      <c r="B524" s="54"/>
      <c r="C524" s="55">
        <f>C523^0.5</f>
        <v>0.20914384919497767</v>
      </c>
      <c r="D524" s="54"/>
      <c r="E524" s="55">
        <f t="shared" ref="E524:G524" si="29">E523^0.5</f>
        <v>0.19275455974301081</v>
      </c>
      <c r="F524" s="54"/>
      <c r="G524" s="55">
        <f t="shared" si="29"/>
        <v>0.95086535257057148</v>
      </c>
    </row>
    <row r="525" spans="1:10">
      <c r="A525" s="48" t="s">
        <v>1159</v>
      </c>
      <c r="B525" s="56"/>
      <c r="C525" s="58" t="s">
        <v>49</v>
      </c>
      <c r="D525" s="56"/>
      <c r="E525" s="62">
        <f>E522*$B$532</f>
        <v>1.5476825760976734E-2</v>
      </c>
      <c r="F525" s="56"/>
      <c r="G525" s="58">
        <f t="shared" ref="G525" si="30">G522*$B$532</f>
        <v>1.8276494246032008E-2</v>
      </c>
    </row>
    <row r="526" spans="1:10">
      <c r="A526" s="48" t="s">
        <v>1160</v>
      </c>
      <c r="B526" s="56"/>
      <c r="C526" s="58"/>
      <c r="D526" s="56"/>
      <c r="E526" s="61">
        <f>(E525)/C523</f>
        <v>0.35382759444278516</v>
      </c>
      <c r="F526" s="56"/>
      <c r="G526" s="56">
        <f t="shared" ref="G526" si="31">(G525)/E523</f>
        <v>0.49190764620675836</v>
      </c>
    </row>
    <row r="527" spans="1:10">
      <c r="A527" s="48" t="s">
        <v>1161</v>
      </c>
      <c r="B527" s="59"/>
      <c r="C527" s="60"/>
      <c r="D527" s="59"/>
      <c r="E527" s="59">
        <v>0.56999999999999995</v>
      </c>
      <c r="F527" s="59"/>
      <c r="G527" s="59">
        <v>1.61</v>
      </c>
    </row>
    <row r="528" spans="1:10">
      <c r="A528" s="48" t="s">
        <v>1162</v>
      </c>
      <c r="B528" s="56"/>
      <c r="C528" s="58"/>
      <c r="D528" s="56"/>
      <c r="E528" s="62">
        <f>B533+E527*(C519-B533)</f>
        <v>-1.0515777666552255E-2</v>
      </c>
      <c r="F528" s="56"/>
      <c r="G528" s="56">
        <f t="shared" ref="G528" si="32">D533+G527*(E519-D533)</f>
        <v>-7.9404519439208343E-2</v>
      </c>
    </row>
    <row r="529" spans="1:7">
      <c r="A529" s="48" t="s">
        <v>1163</v>
      </c>
      <c r="B529" s="56"/>
      <c r="C529" s="61">
        <f>C519/C524</f>
        <v>-0.25593714719698174</v>
      </c>
      <c r="D529" s="56"/>
      <c r="E529" s="61">
        <f>E519/E524</f>
        <v>-0.25586724048027121</v>
      </c>
      <c r="F529" s="56"/>
      <c r="G529" s="61">
        <f t="shared" ref="G529" si="33">G519/G524</f>
        <v>-1.7149659965214934</v>
      </c>
    </row>
    <row r="530" spans="1:7">
      <c r="A530" s="48" t="s">
        <v>1164</v>
      </c>
      <c r="B530" s="59"/>
      <c r="C530" s="60"/>
      <c r="D530" s="59"/>
      <c r="E530" s="69" t="str">
        <f>IF(E528&lt;E519,"YES", "NO")</f>
        <v>NO</v>
      </c>
      <c r="F530" s="59"/>
      <c r="G530" s="69" t="str">
        <f t="shared" ref="G530" si="34">IF(G528&lt;G519,"YES", "NO")</f>
        <v>NO</v>
      </c>
    </row>
    <row r="532" spans="1:7">
      <c r="A532" s="66" t="s">
        <v>1165</v>
      </c>
      <c r="B532" s="67">
        <v>365</v>
      </c>
    </row>
    <row r="533" spans="1:7">
      <c r="A533" s="66" t="s">
        <v>1166</v>
      </c>
      <c r="B533" s="68">
        <v>4.65E-2</v>
      </c>
    </row>
  </sheetData>
  <mergeCells count="9">
    <mergeCell ref="M4:N4"/>
    <mergeCell ref="B1:C1"/>
    <mergeCell ref="D1:E1"/>
    <mergeCell ref="F1:G1"/>
    <mergeCell ref="A2:A3"/>
    <mergeCell ref="B2:C2"/>
    <mergeCell ref="D2:E2"/>
    <mergeCell ref="F2:G2"/>
    <mergeCell ref="J4:K4"/>
  </mergeCells>
  <conditionalFormatting sqref="E530">
    <cfRule type="containsText" dxfId="3" priority="3" operator="containsText" text="YES">
      <formula>NOT(ISERROR(SEARCH(("YES"),(E530))))</formula>
    </cfRule>
    <cfRule type="containsText" dxfId="2" priority="4" operator="containsText" text="NO">
      <formula>NOT(ISERROR(SEARCH(("NO"),(E530))))</formula>
    </cfRule>
  </conditionalFormatting>
  <conditionalFormatting sqref="G530">
    <cfRule type="containsText" dxfId="1" priority="1" operator="containsText" text="YES">
      <formula>NOT(ISERROR(SEARCH(("YES"),(G530))))</formula>
    </cfRule>
    <cfRule type="containsText" dxfId="0" priority="2" operator="containsText" text="NO">
      <formula>NOT(ISERROR(SEARCH(("NO"),(G530))))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W91"/>
  <sheetViews>
    <sheetView zoomScale="83" zoomScaleNormal="70" workbookViewId="0">
      <selection activeCell="AA31" sqref="AA31"/>
    </sheetView>
  </sheetViews>
  <sheetFormatPr baseColWidth="10" defaultColWidth="9.1640625" defaultRowHeight="15"/>
  <cols>
    <col min="2" max="2" width="60.6640625" bestFit="1" customWidth="1"/>
    <col min="3" max="3" width="3.83203125" customWidth="1"/>
    <col min="4" max="4" width="10" bestFit="1" customWidth="1"/>
    <col min="5" max="5" width="9.1640625" bestFit="1" customWidth="1"/>
    <col min="6" max="6" width="8.83203125" bestFit="1" customWidth="1"/>
    <col min="7" max="7" width="9.1640625" bestFit="1" customWidth="1"/>
    <col min="8" max="8" width="10.5" customWidth="1"/>
    <col min="9" max="9" width="10.33203125" bestFit="1" customWidth="1"/>
    <col min="10" max="12" width="10" bestFit="1" customWidth="1"/>
    <col min="14" max="14" width="9.1640625" style="165"/>
    <col min="15" max="15" width="9.1640625" style="121"/>
    <col min="16" max="16" width="9.5" customWidth="1"/>
  </cols>
  <sheetData>
    <row r="2" spans="2:23">
      <c r="B2" s="361" t="s">
        <v>162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Q2" s="361" t="s">
        <v>1</v>
      </c>
      <c r="R2" s="361"/>
      <c r="S2" s="361"/>
      <c r="T2" s="361"/>
      <c r="U2" s="361"/>
      <c r="V2" s="361"/>
      <c r="W2" s="361"/>
    </row>
    <row r="4" spans="2:23">
      <c r="B4" s="1" t="s">
        <v>163</v>
      </c>
      <c r="C4" s="1"/>
    </row>
    <row r="5" spans="2:23">
      <c r="D5" s="367" t="s">
        <v>164</v>
      </c>
      <c r="E5" s="367"/>
      <c r="F5" s="367"/>
      <c r="G5" s="367"/>
      <c r="H5" s="35"/>
      <c r="I5" s="368" t="s">
        <v>165</v>
      </c>
      <c r="J5" s="368"/>
      <c r="K5" s="368"/>
      <c r="L5" s="368"/>
      <c r="Q5" s="367" t="s">
        <v>5</v>
      </c>
      <c r="R5" s="367"/>
      <c r="S5" s="367"/>
      <c r="U5" s="368" t="s">
        <v>165</v>
      </c>
      <c r="V5" s="368"/>
      <c r="W5" s="368"/>
    </row>
    <row r="6" spans="2:23">
      <c r="B6" s="2" t="s">
        <v>166</v>
      </c>
      <c r="C6" s="2"/>
      <c r="D6" s="2">
        <v>2022</v>
      </c>
      <c r="E6" s="2">
        <v>2021</v>
      </c>
      <c r="F6" s="2">
        <v>2020</v>
      </c>
      <c r="G6" s="2">
        <v>2019</v>
      </c>
      <c r="I6" s="2">
        <v>2022</v>
      </c>
      <c r="J6" s="2">
        <v>2021</v>
      </c>
      <c r="K6" s="2">
        <v>2020</v>
      </c>
      <c r="L6" s="2">
        <v>2019</v>
      </c>
      <c r="Q6" s="2">
        <v>2022</v>
      </c>
      <c r="R6" s="2">
        <v>2021</v>
      </c>
      <c r="S6" s="2">
        <v>2020</v>
      </c>
      <c r="U6" s="2">
        <v>2022</v>
      </c>
      <c r="V6" s="2">
        <v>2021</v>
      </c>
      <c r="W6" s="2">
        <v>2020</v>
      </c>
    </row>
    <row r="7" spans="2:23">
      <c r="B7" t="s">
        <v>167</v>
      </c>
      <c r="D7" s="10">
        <f>'Financia Data - J&amp;J'!L27</f>
        <v>55294</v>
      </c>
      <c r="E7" s="10">
        <f>'Financia Data - J&amp;J'!M27</f>
        <v>60979</v>
      </c>
      <c r="F7" s="10">
        <f>'Financia Data - J&amp;J'!N27</f>
        <v>51237</v>
      </c>
      <c r="G7" s="10">
        <f>'Financia Data - J&amp;J'!O27</f>
        <v>45274</v>
      </c>
      <c r="I7" s="10">
        <f>'Financial Data - Honest'!K22</f>
        <v>189147</v>
      </c>
      <c r="J7" s="10">
        <f>'Financial Data - Honest'!L22</f>
        <v>213796</v>
      </c>
      <c r="K7" s="10">
        <f>'Financial Data - Honest'!M22</f>
        <v>173557</v>
      </c>
      <c r="L7" s="10">
        <f>'Financial Data - Honest'!N22</f>
        <v>167892</v>
      </c>
      <c r="Q7" s="42">
        <f t="shared" ref="Q7:S10" si="0">(D7-E7)/E7</f>
        <v>-9.322881647780383E-2</v>
      </c>
      <c r="R7" s="42">
        <f t="shared" si="0"/>
        <v>0.19013603450631381</v>
      </c>
      <c r="S7" s="42">
        <f t="shared" si="0"/>
        <v>0.13170914873879047</v>
      </c>
      <c r="T7" s="42"/>
      <c r="U7" s="42">
        <f t="shared" ref="U7:W10" si="1">(I7-J7)/J7</f>
        <v>-0.11529214765477371</v>
      </c>
      <c r="V7" s="42">
        <f t="shared" si="1"/>
        <v>0.23184890266598293</v>
      </c>
      <c r="W7" s="42">
        <f t="shared" si="1"/>
        <v>3.3741929335525216E-2</v>
      </c>
    </row>
    <row r="8" spans="2:23">
      <c r="B8" t="s">
        <v>168</v>
      </c>
      <c r="D8" s="10">
        <f>'Financia Data - J&amp;J'!L59</f>
        <v>55802</v>
      </c>
      <c r="E8" s="10">
        <f>'Financia Data - J&amp;J'!M59</f>
        <v>45226</v>
      </c>
      <c r="F8" s="10">
        <f>'Financia Data - J&amp;J'!N59</f>
        <v>42493</v>
      </c>
      <c r="G8" s="10">
        <f>'Financia Data - J&amp;J'!O59</f>
        <v>35964</v>
      </c>
      <c r="I8" s="10">
        <f>'Financial Data - Honest'!K49</f>
        <v>63580</v>
      </c>
      <c r="J8" s="10">
        <f>'Financial Data - Honest'!L49</f>
        <v>48477</v>
      </c>
      <c r="K8" s="10">
        <f>'Financial Data - Honest'!M49</f>
        <v>54070</v>
      </c>
      <c r="L8" s="10">
        <f>'Financial Data - Honest'!N49</f>
        <v>38690</v>
      </c>
      <c r="Q8" s="42">
        <f t="shared" si="0"/>
        <v>0.23384778667138373</v>
      </c>
      <c r="R8" s="42">
        <f t="shared" si="0"/>
        <v>6.4316475654813729E-2</v>
      </c>
      <c r="S8" s="42">
        <f t="shared" si="0"/>
        <v>0.18154265376487599</v>
      </c>
      <c r="T8" s="42"/>
      <c r="U8" s="42">
        <f t="shared" si="1"/>
        <v>0.31154980712502839</v>
      </c>
      <c r="V8" s="42">
        <f t="shared" si="1"/>
        <v>-0.10343998520436472</v>
      </c>
      <c r="W8" s="42">
        <f t="shared" si="1"/>
        <v>0.39751873869216853</v>
      </c>
    </row>
    <row r="9" spans="2:23">
      <c r="B9" t="s">
        <v>169</v>
      </c>
      <c r="D9" s="10">
        <f>'Financia Data - J&amp;J'!L20</f>
        <v>12483</v>
      </c>
      <c r="E9" s="10">
        <f>'Financia Data - J&amp;J'!M20</f>
        <v>10387</v>
      </c>
      <c r="F9" s="10">
        <f>'Financia Data - J&amp;J'!N20</f>
        <v>9344</v>
      </c>
      <c r="G9" s="10">
        <f>'Financia Data - J&amp;J'!O20</f>
        <v>9020</v>
      </c>
      <c r="I9" s="10">
        <f>'Financial Data - Honest'!K18</f>
        <v>115664</v>
      </c>
      <c r="J9" s="10">
        <f>'Financial Data - Honest'!L18</f>
        <v>75668</v>
      </c>
      <c r="K9" s="10">
        <f>'Financial Data - Honest'!M18</f>
        <v>76669</v>
      </c>
      <c r="L9" s="10">
        <f>'Financial Data - Honest'!N18</f>
        <v>52541</v>
      </c>
      <c r="Q9" s="42">
        <f t="shared" si="0"/>
        <v>0.20179069991335322</v>
      </c>
      <c r="R9" s="42">
        <f t="shared" si="0"/>
        <v>0.11162243150684932</v>
      </c>
      <c r="S9" s="42">
        <f t="shared" si="0"/>
        <v>3.5920177383592017E-2</v>
      </c>
      <c r="T9" s="42"/>
      <c r="U9" s="42">
        <f t="shared" si="1"/>
        <v>0.52857218375006609</v>
      </c>
      <c r="V9" s="42">
        <f t="shared" si="1"/>
        <v>-1.3056124378823253E-2</v>
      </c>
      <c r="W9" s="42">
        <f t="shared" si="1"/>
        <v>0.45922232161550025</v>
      </c>
    </row>
    <row r="10" spans="2:23">
      <c r="B10" t="s">
        <v>170</v>
      </c>
      <c r="D10" s="10">
        <f>'Financia Data - J&amp;J'!AC62</f>
        <v>14127</v>
      </c>
      <c r="E10" s="10">
        <f>'Financia Data - J&amp;J'!AD62</f>
        <v>14487</v>
      </c>
      <c r="F10" s="10">
        <f>'Financia Data - J&amp;J'!AE62</f>
        <v>13985</v>
      </c>
      <c r="G10" s="10">
        <f>'Financia Data - J&amp;J'!AF62</f>
        <v>17305</v>
      </c>
      <c r="I10" s="10">
        <f>'Financial Data - Honest'!K12</f>
        <v>9517</v>
      </c>
      <c r="J10" s="10">
        <f>'Financial Data - Honest'!L12</f>
        <v>50791</v>
      </c>
      <c r="K10" s="10">
        <f>'Financial Data - Honest'!M12</f>
        <v>29259</v>
      </c>
      <c r="L10" s="10">
        <f>'Financial Data - Honest'!N12</f>
        <v>13543</v>
      </c>
      <c r="Q10" s="42">
        <f t="shared" si="0"/>
        <v>-2.4849865396562434E-2</v>
      </c>
      <c r="R10" s="42">
        <f t="shared" si="0"/>
        <v>3.589560243117626E-2</v>
      </c>
      <c r="S10" s="42">
        <f t="shared" si="0"/>
        <v>-0.1918520658769142</v>
      </c>
      <c r="T10" s="42"/>
      <c r="U10" s="42">
        <f t="shared" si="1"/>
        <v>-0.81262428382981233</v>
      </c>
      <c r="V10" s="42">
        <f t="shared" si="1"/>
        <v>0.73591031819269281</v>
      </c>
      <c r="W10" s="42">
        <f t="shared" si="1"/>
        <v>1.1604518939673631</v>
      </c>
    </row>
    <row r="11" spans="2:23">
      <c r="B11" s="17"/>
      <c r="C11" s="17"/>
      <c r="D11" s="18"/>
      <c r="E11" s="18"/>
      <c r="F11" s="18"/>
      <c r="G11" s="18"/>
      <c r="H11" s="17"/>
      <c r="I11" s="17"/>
      <c r="J11" s="17"/>
      <c r="K11" s="17"/>
      <c r="Q11" s="42"/>
      <c r="R11" s="42"/>
      <c r="S11" s="42"/>
      <c r="T11" s="42"/>
      <c r="U11" s="42"/>
      <c r="V11" s="42"/>
      <c r="W11" s="42"/>
    </row>
    <row r="12" spans="2:23">
      <c r="B12" s="16" t="s">
        <v>171</v>
      </c>
      <c r="C12" s="16"/>
      <c r="D12" s="16">
        <v>2022</v>
      </c>
      <c r="E12" s="16">
        <v>2021</v>
      </c>
      <c r="F12" s="16">
        <v>2020</v>
      </c>
      <c r="G12" s="36">
        <v>2019</v>
      </c>
      <c r="H12" s="15"/>
      <c r="I12" s="16">
        <f>I6</f>
        <v>2022</v>
      </c>
      <c r="J12" s="16">
        <f>J6</f>
        <v>2021</v>
      </c>
      <c r="K12" s="16">
        <v>2020</v>
      </c>
      <c r="L12" s="36">
        <f>L6</f>
        <v>2019</v>
      </c>
      <c r="Q12" s="42"/>
      <c r="R12" s="42"/>
      <c r="S12" s="42"/>
      <c r="T12" s="42"/>
      <c r="U12" s="42"/>
      <c r="V12" s="42"/>
      <c r="W12" s="42"/>
    </row>
    <row r="13" spans="2:23">
      <c r="B13" s="2" t="s">
        <v>172</v>
      </c>
      <c r="C13" s="2"/>
      <c r="D13" s="222">
        <f>D7/D8</f>
        <v>0.99089638364216337</v>
      </c>
      <c r="E13" s="222">
        <f>E7/E8</f>
        <v>1.3483173395834254</v>
      </c>
      <c r="F13" s="222">
        <f>F7/F8</f>
        <v>1.205775068834867</v>
      </c>
      <c r="G13" s="222">
        <f>G7/G8</f>
        <v>1.2588699810922033</v>
      </c>
      <c r="H13" s="3"/>
      <c r="I13" s="224">
        <f>I7/I8</f>
        <v>2.974944951242529</v>
      </c>
      <c r="J13" s="224">
        <f>J7/J8</f>
        <v>4.4102564102564106</v>
      </c>
      <c r="K13" s="224">
        <f>K7/K8</f>
        <v>3.2098575920103571</v>
      </c>
      <c r="L13" s="224">
        <f>L7/L8</f>
        <v>4.3394158697337817</v>
      </c>
      <c r="Q13" s="191">
        <f t="shared" ref="Q13:S13" si="2">(D13-E13)/E13</f>
        <v>-0.26508667169680572</v>
      </c>
      <c r="R13" s="191">
        <f t="shared" si="2"/>
        <v>0.11821630288499507</v>
      </c>
      <c r="S13" s="191">
        <f t="shared" si="2"/>
        <v>-4.2176644971127872E-2</v>
      </c>
      <c r="T13" s="191"/>
      <c r="U13" s="191">
        <f t="shared" ref="U13:W13" si="3">(I13-J13)/J13</f>
        <v>-0.32544852849733358</v>
      </c>
      <c r="V13" s="191">
        <f t="shared" si="3"/>
        <v>0.37397260901354656</v>
      </c>
      <c r="W13" s="191">
        <f t="shared" si="3"/>
        <v>-0.26030191888308729</v>
      </c>
    </row>
    <row r="14" spans="2:23">
      <c r="B14" s="15" t="s">
        <v>173</v>
      </c>
      <c r="C14" s="15"/>
      <c r="D14" s="223"/>
      <c r="E14" s="223"/>
      <c r="F14" s="223"/>
      <c r="G14" s="223"/>
      <c r="H14" s="15"/>
      <c r="I14" s="225"/>
      <c r="J14" s="225"/>
      <c r="K14" s="225"/>
      <c r="L14" s="225"/>
      <c r="Q14" s="190"/>
      <c r="R14" s="190"/>
      <c r="S14" s="190"/>
      <c r="T14" s="190"/>
      <c r="U14" s="190"/>
      <c r="V14" s="190"/>
      <c r="W14" s="190"/>
    </row>
    <row r="15" spans="2:23">
      <c r="B15" s="2" t="s">
        <v>174</v>
      </c>
      <c r="C15" s="2"/>
      <c r="D15" s="222">
        <f>(D7-D9)/D8</f>
        <v>0.7671947242034336</v>
      </c>
      <c r="E15" s="222">
        <f>(E7-E9)/E8</f>
        <v>1.1186485649847433</v>
      </c>
      <c r="F15" s="222">
        <f>(F7-F9)/F8</f>
        <v>0.9858800272986139</v>
      </c>
      <c r="G15" s="222">
        <f>(G7-G9)/G8</f>
        <v>1.0080636191747303</v>
      </c>
      <c r="H15" s="3"/>
      <c r="I15" s="224">
        <f>(I7-I9)/I8</f>
        <v>1.1557565272098145</v>
      </c>
      <c r="J15" s="224">
        <f>(J7-J9)/J8</f>
        <v>2.8493512387317699</v>
      </c>
      <c r="K15" s="224">
        <f>(K7-K9)/K8</f>
        <v>1.7918993896800444</v>
      </c>
      <c r="L15" s="224">
        <f>(L7-L9)/L8</f>
        <v>2.9814163866632204</v>
      </c>
      <c r="Q15" s="191">
        <f>(D15-E15)/E15</f>
        <v>-0.31417717036637238</v>
      </c>
      <c r="R15" s="191">
        <f>(E15-F15)/F15</f>
        <v>0.13467007547553758</v>
      </c>
      <c r="S15" s="191">
        <f>(F15-G15)/G15</f>
        <v>-2.2006142721703821E-2</v>
      </c>
      <c r="T15" s="191"/>
      <c r="U15" s="191">
        <f>(I15-J15)/J15</f>
        <v>-0.5943790602227631</v>
      </c>
      <c r="V15" s="191">
        <f>(J15-K15)/K15</f>
        <v>0.59012903020215923</v>
      </c>
      <c r="W15" s="191">
        <f>(K15-L15)/L15</f>
        <v>-0.39897714465656198</v>
      </c>
    </row>
    <row r="16" spans="2:23">
      <c r="B16" s="15" t="s">
        <v>175</v>
      </c>
      <c r="C16" s="15"/>
      <c r="D16" s="223"/>
      <c r="E16" s="223"/>
      <c r="F16" s="223"/>
      <c r="G16" s="223"/>
      <c r="H16" s="15"/>
      <c r="I16" s="225"/>
      <c r="J16" s="225"/>
      <c r="K16" s="225"/>
      <c r="L16" s="225"/>
      <c r="Q16" s="190"/>
      <c r="R16" s="190"/>
      <c r="S16" s="190"/>
      <c r="T16" s="190"/>
      <c r="U16" s="190"/>
      <c r="V16" s="190"/>
      <c r="W16" s="190"/>
    </row>
    <row r="17" spans="2:23">
      <c r="B17" s="2" t="s">
        <v>176</v>
      </c>
      <c r="C17" s="2"/>
      <c r="D17" s="222">
        <f>D10/D8</f>
        <v>0.25316296906920899</v>
      </c>
      <c r="E17" s="222">
        <f>E10/E8</f>
        <v>0.32032459204882147</v>
      </c>
      <c r="F17" s="222">
        <f>F10/F8</f>
        <v>0.3291130303814746</v>
      </c>
      <c r="G17" s="222">
        <f>G10/G8</f>
        <v>0.48117562006450898</v>
      </c>
      <c r="H17" s="3"/>
      <c r="I17" s="224">
        <f>I10/I8</f>
        <v>0.14968543567159484</v>
      </c>
      <c r="J17" s="224">
        <f>J10/J8</f>
        <v>1.0477339769375167</v>
      </c>
      <c r="K17" s="224">
        <f>K10/K8</f>
        <v>0.5411318660995007</v>
      </c>
      <c r="L17" s="224">
        <f>L10/L8</f>
        <v>0.35003876970793485</v>
      </c>
      <c r="Q17" s="191">
        <f>(D17-E17)/E17</f>
        <v>-0.20966739565651646</v>
      </c>
      <c r="R17" s="191">
        <f>(E17-F17)/F17</f>
        <v>-2.6703404366780818E-2</v>
      </c>
      <c r="S17" s="191">
        <f>(F17-G17)/G17</f>
        <v>-0.31602305549613685</v>
      </c>
      <c r="T17" s="191"/>
      <c r="U17" s="191">
        <f>(I17-J17)/J17</f>
        <v>-0.85713412090622543</v>
      </c>
      <c r="V17" s="191">
        <f>(J17-K17)/K17</f>
        <v>0.93618975812609873</v>
      </c>
      <c r="W17" s="191">
        <f>(K17-L17)/L17</f>
        <v>0.54591980354350467</v>
      </c>
    </row>
    <row r="18" spans="2:23">
      <c r="B18" s="15" t="s">
        <v>177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"/>
      <c r="N18" s="252"/>
      <c r="O18" s="219"/>
      <c r="Q18" s="42"/>
      <c r="R18" s="42"/>
      <c r="S18" s="42"/>
      <c r="T18" s="42"/>
      <c r="U18" s="42"/>
      <c r="V18" s="42"/>
      <c r="W18" s="42"/>
    </row>
    <row r="19" spans="2:23">
      <c r="Q19" s="42"/>
      <c r="R19" s="42"/>
      <c r="S19" s="42"/>
      <c r="T19" s="42"/>
      <c r="U19" s="42"/>
      <c r="V19" s="42"/>
      <c r="W19" s="42"/>
    </row>
    <row r="20" spans="2:23">
      <c r="B20" s="5" t="s">
        <v>178</v>
      </c>
      <c r="C20" s="4"/>
      <c r="D20" s="4">
        <f>D6</f>
        <v>2022</v>
      </c>
      <c r="E20" s="4">
        <f>E6</f>
        <v>2021</v>
      </c>
      <c r="F20" s="4">
        <v>2020</v>
      </c>
      <c r="G20" s="4">
        <f>G6</f>
        <v>2019</v>
      </c>
      <c r="I20" s="4">
        <f>I6</f>
        <v>2022</v>
      </c>
      <c r="J20" s="4">
        <f>J6</f>
        <v>2021</v>
      </c>
      <c r="K20" s="4">
        <v>2020</v>
      </c>
      <c r="L20" s="4">
        <f>L6</f>
        <v>2019</v>
      </c>
      <c r="Q20" s="42"/>
      <c r="R20" s="42"/>
      <c r="S20" s="42"/>
      <c r="T20" s="42"/>
      <c r="U20" s="42"/>
      <c r="V20" s="42"/>
      <c r="W20" s="42"/>
    </row>
    <row r="21" spans="2:23">
      <c r="B21" t="s">
        <v>179</v>
      </c>
      <c r="D21" s="10">
        <f>'Financia Data - J&amp;J'!U17</f>
        <v>63954</v>
      </c>
      <c r="E21" s="10">
        <f>'Financia Data - J&amp;J'!V17</f>
        <v>63920</v>
      </c>
      <c r="F21" s="10">
        <f>'Financia Data - J&amp;J'!W17</f>
        <v>54257</v>
      </c>
      <c r="G21" s="10">
        <f>'Financia Data - J&amp;J'!X17</f>
        <v>54603</v>
      </c>
      <c r="I21" s="10">
        <f>'Financial Data - Honest'!R16</f>
        <v>92315</v>
      </c>
      <c r="J21" s="10">
        <f>'Financial Data - Honest'!S16</f>
        <v>109172</v>
      </c>
      <c r="K21" s="114">
        <f>'Financial Data - Honest'!T16</f>
        <v>107896</v>
      </c>
      <c r="L21" s="115">
        <f>'Financial Data - Honest'!U16</f>
        <v>75854</v>
      </c>
      <c r="M21" s="39"/>
      <c r="Q21" s="42">
        <f t="shared" ref="Q21:S27" si="4">(D21-E21)/E21</f>
        <v>5.3191489361702129E-4</v>
      </c>
      <c r="R21" s="42">
        <f t="shared" si="4"/>
        <v>0.17809683543137292</v>
      </c>
      <c r="S21" s="42">
        <f t="shared" si="4"/>
        <v>-6.3366481695144956E-3</v>
      </c>
      <c r="T21" s="42"/>
      <c r="U21" s="42">
        <f t="shared" ref="U21:W27" si="5">(I21-J21)/J21</f>
        <v>-0.15440772359212984</v>
      </c>
      <c r="V21" s="42">
        <f t="shared" si="5"/>
        <v>1.1826203010306222E-2</v>
      </c>
      <c r="W21" s="42">
        <f t="shared" si="5"/>
        <v>0.42241674796319245</v>
      </c>
    </row>
    <row r="22" spans="2:23">
      <c r="B22" t="s">
        <v>180</v>
      </c>
      <c r="D22" s="10">
        <f>'Financia Data - J&amp;J'!U41</f>
        <v>21725</v>
      </c>
      <c r="E22" s="10">
        <f>'Financia Data - J&amp;J'!V41</f>
        <v>22776</v>
      </c>
      <c r="F22" s="10">
        <f>'Financia Data - J&amp;J'!W41</f>
        <v>16497</v>
      </c>
      <c r="G22" s="10">
        <f>'Financia Data - J&amp;J'!X41</f>
        <v>17328</v>
      </c>
      <c r="I22" s="10">
        <f>'Financial Data - Honest'!R32</f>
        <v>-49780</v>
      </c>
      <c r="J22" s="10">
        <f>'Financial Data - Honest'!S32</f>
        <v>-36826</v>
      </c>
      <c r="K22" s="114">
        <f>'Financial Data - Honest'!T32</f>
        <v>-13540</v>
      </c>
      <c r="L22" s="115">
        <f>'Financial Data - Honest'!U32</f>
        <v>-31457</v>
      </c>
      <c r="M22" s="39"/>
      <c r="Q22" s="42">
        <f t="shared" si="4"/>
        <v>-4.6145064980681418E-2</v>
      </c>
      <c r="R22" s="42">
        <f t="shared" si="4"/>
        <v>0.38061465721040189</v>
      </c>
      <c r="S22" s="42">
        <f t="shared" si="4"/>
        <v>-4.7957063711911357E-2</v>
      </c>
      <c r="T22" s="42"/>
      <c r="U22" s="42">
        <f t="shared" si="5"/>
        <v>0.35176234182371152</v>
      </c>
      <c r="V22" s="42">
        <f t="shared" si="5"/>
        <v>1.7197932053175775</v>
      </c>
      <c r="W22" s="42">
        <f t="shared" si="5"/>
        <v>-0.56957116063197377</v>
      </c>
    </row>
    <row r="23" spans="2:23">
      <c r="B23" t="s">
        <v>181</v>
      </c>
      <c r="D23" s="10">
        <f>'Financia Data - J&amp;J'!U48</f>
        <v>21725</v>
      </c>
      <c r="E23" s="10">
        <f>'Financia Data - J&amp;J'!V48</f>
        <v>22776</v>
      </c>
      <c r="F23" s="10">
        <f>'Financia Data - J&amp;J'!W48</f>
        <v>16497</v>
      </c>
      <c r="G23" s="10">
        <f>'Financia Data - J&amp;J'!X48</f>
        <v>17328</v>
      </c>
      <c r="I23" s="10">
        <f>'Financial Data - Honest'!R41</f>
        <v>-48909</v>
      </c>
      <c r="J23" s="10">
        <f>'Financial Data - Honest'!S41</f>
        <v>-38602</v>
      </c>
      <c r="K23" s="114">
        <f>'Financial Data - Honest'!T41</f>
        <v>-14377</v>
      </c>
      <c r="L23" s="115">
        <f>'Financial Data - Honest'!U41</f>
        <v>-31028</v>
      </c>
      <c r="M23" s="39"/>
      <c r="Q23" s="42">
        <f t="shared" si="4"/>
        <v>-4.6145064980681418E-2</v>
      </c>
      <c r="R23" s="42">
        <f t="shared" si="4"/>
        <v>0.38061465721040189</v>
      </c>
      <c r="S23" s="42">
        <f t="shared" si="4"/>
        <v>-4.7957063711911357E-2</v>
      </c>
      <c r="T23" s="42"/>
      <c r="U23" s="42">
        <f t="shared" si="5"/>
        <v>0.26700689083467177</v>
      </c>
      <c r="V23" s="42">
        <f t="shared" si="5"/>
        <v>1.6849829588926759</v>
      </c>
      <c r="W23" s="42">
        <f t="shared" si="5"/>
        <v>-0.53664432125821837</v>
      </c>
    </row>
    <row r="24" spans="2:23">
      <c r="B24" t="s">
        <v>182</v>
      </c>
      <c r="D24" s="10">
        <f>'Financia Data - J&amp;J'!U61</f>
        <v>17941</v>
      </c>
      <c r="E24" s="10">
        <f>'Financia Data - J&amp;J'!V61</f>
        <v>20878</v>
      </c>
      <c r="F24" s="10">
        <f>'Financia Data - J&amp;J'!W61</f>
        <v>14714</v>
      </c>
      <c r="G24" s="10">
        <f>'Financia Data - J&amp;J'!X61</f>
        <v>15119</v>
      </c>
      <c r="I24" s="10">
        <f>'Financial Data - Honest'!R54</f>
        <v>-49019</v>
      </c>
      <c r="J24" s="10">
        <f>'Financial Data - Honest'!S54</f>
        <v>-38679</v>
      </c>
      <c r="K24" s="10">
        <f>'Financial Data - Honest'!T54</f>
        <v>-14466</v>
      </c>
      <c r="L24" s="10">
        <f>'Financial Data - Honest'!U54</f>
        <v>-31083</v>
      </c>
      <c r="Q24" s="42">
        <f t="shared" si="4"/>
        <v>-0.14067439409905164</v>
      </c>
      <c r="R24" s="42">
        <f t="shared" si="4"/>
        <v>0.41892075574282994</v>
      </c>
      <c r="S24" s="42">
        <f t="shared" si="4"/>
        <v>-2.6787485944837621E-2</v>
      </c>
      <c r="T24" s="42"/>
      <c r="U24" s="42">
        <f t="shared" si="5"/>
        <v>0.26732852452235062</v>
      </c>
      <c r="V24" s="42">
        <f t="shared" si="5"/>
        <v>1.6737868104520945</v>
      </c>
      <c r="W24" s="42">
        <f t="shared" si="5"/>
        <v>-0.53460090724833509</v>
      </c>
    </row>
    <row r="25" spans="2:23">
      <c r="B25" t="s">
        <v>183</v>
      </c>
      <c r="D25" s="10">
        <f>'Financia Data - J&amp;J'!U11</f>
        <v>94943</v>
      </c>
      <c r="E25" s="10">
        <f>'Financia Data - J&amp;J'!V11</f>
        <v>93775</v>
      </c>
      <c r="F25" s="10">
        <f>'Financia Data - J&amp;J'!W11</f>
        <v>82584</v>
      </c>
      <c r="G25" s="10">
        <f>'Financia Data - J&amp;J'!X11</f>
        <v>82059</v>
      </c>
      <c r="I25" s="10">
        <f>'Financial Data - Honest'!R10</f>
        <v>313651</v>
      </c>
      <c r="J25" s="10">
        <f>'Financial Data - Honest'!S10</f>
        <v>318639</v>
      </c>
      <c r="K25" s="10">
        <f>'Financial Data - Honest'!T10</f>
        <v>300522</v>
      </c>
      <c r="L25" s="10">
        <v>235587</v>
      </c>
      <c r="Q25" s="42">
        <f t="shared" si="4"/>
        <v>1.2455345241268996E-2</v>
      </c>
      <c r="R25" s="42">
        <f t="shared" si="4"/>
        <v>0.13551051051051052</v>
      </c>
      <c r="S25" s="42">
        <f t="shared" si="4"/>
        <v>6.3978357035791317E-3</v>
      </c>
      <c r="T25" s="42"/>
      <c r="U25" s="42">
        <f t="shared" si="5"/>
        <v>-1.5654078753699327E-2</v>
      </c>
      <c r="V25" s="42">
        <f t="shared" si="5"/>
        <v>6.0285103919180627E-2</v>
      </c>
      <c r="W25" s="42">
        <f t="shared" si="5"/>
        <v>0.27563065873753645</v>
      </c>
    </row>
    <row r="26" spans="2:23">
      <c r="B26" t="s">
        <v>184</v>
      </c>
      <c r="D26" s="10">
        <f>'Financia Data - J&amp;J'!L87</f>
        <v>76804</v>
      </c>
      <c r="E26" s="10">
        <f>'Financia Data - J&amp;J'!M87</f>
        <v>74023</v>
      </c>
      <c r="F26" s="10">
        <f>'Financia Data - J&amp;J'!N87</f>
        <v>63278</v>
      </c>
      <c r="G26" s="10">
        <f>'Financia Data - J&amp;J'!O87</f>
        <v>59471</v>
      </c>
      <c r="H26" s="13"/>
      <c r="I26" s="10">
        <f>'Financial Data - Honest'!K73</f>
        <v>146360</v>
      </c>
      <c r="J26" s="10">
        <f>'Financial Data - Honest'!L73</f>
        <v>179106</v>
      </c>
      <c r="K26" s="115">
        <f>'Financial Data - Honest'!M73</f>
        <v>139579</v>
      </c>
      <c r="L26" s="10">
        <f>'Financial Data - Honest'!N73</f>
        <v>146127</v>
      </c>
      <c r="Q26" s="42">
        <f t="shared" si="4"/>
        <v>3.7569404104129796E-2</v>
      </c>
      <c r="R26" s="42">
        <f t="shared" si="4"/>
        <v>0.16980625177786909</v>
      </c>
      <c r="S26" s="42">
        <f t="shared" si="4"/>
        <v>6.4014393569975278E-2</v>
      </c>
      <c r="T26" s="42"/>
      <c r="U26" s="42">
        <f t="shared" si="5"/>
        <v>-0.18283027927595949</v>
      </c>
      <c r="V26" s="42">
        <f t="shared" si="5"/>
        <v>0.28318729894898231</v>
      </c>
      <c r="W26" s="42">
        <f t="shared" si="5"/>
        <v>-4.4810336214388853E-2</v>
      </c>
    </row>
    <row r="27" spans="2:23">
      <c r="B27" t="s">
        <v>185</v>
      </c>
      <c r="D27" s="10">
        <f>'Financia Data - J&amp;J'!L48</f>
        <v>187378</v>
      </c>
      <c r="E27" s="10">
        <f>'Financia Data - J&amp;J'!M48</f>
        <v>182018</v>
      </c>
      <c r="F27" s="10">
        <f>'Financia Data - J&amp;J'!N48</f>
        <v>174894</v>
      </c>
      <c r="G27" s="10">
        <f>'Financia Data - J&amp;J'!O48</f>
        <v>157728</v>
      </c>
      <c r="I27" s="10">
        <f>'Financial Data - Honest'!K39</f>
        <v>240599</v>
      </c>
      <c r="J27" s="10">
        <f>'Financial Data - Honest'!L39</f>
        <v>272597</v>
      </c>
      <c r="K27" s="10">
        <f>'Financial Data - Honest'!M39</f>
        <v>240732</v>
      </c>
      <c r="L27" s="10">
        <f>'Financial Data - Honest'!N39</f>
        <v>234022</v>
      </c>
      <c r="M27" s="39"/>
      <c r="Q27" s="42">
        <f t="shared" si="4"/>
        <v>2.9447637046885473E-2</v>
      </c>
      <c r="R27" s="42">
        <f t="shared" si="4"/>
        <v>4.0733244136448361E-2</v>
      </c>
      <c r="S27" s="42">
        <f t="shared" si="4"/>
        <v>0.10883292757151553</v>
      </c>
      <c r="T27" s="42"/>
      <c r="U27" s="42">
        <f t="shared" si="5"/>
        <v>-0.11738206950186539</v>
      </c>
      <c r="V27" s="42">
        <f t="shared" si="5"/>
        <v>0.13236711363674128</v>
      </c>
      <c r="W27" s="42">
        <f t="shared" si="5"/>
        <v>2.8672517968396132E-2</v>
      </c>
    </row>
    <row r="28" spans="2:23">
      <c r="D28" s="10"/>
      <c r="E28" s="10"/>
      <c r="F28" s="10"/>
      <c r="G28" s="10"/>
      <c r="I28" s="38"/>
      <c r="Q28" s="42"/>
      <c r="R28" s="42"/>
      <c r="S28" s="42"/>
      <c r="T28" s="42"/>
      <c r="U28" s="42"/>
      <c r="V28" s="42"/>
      <c r="W28" s="42"/>
    </row>
    <row r="29" spans="2:23">
      <c r="B29" s="19" t="s">
        <v>186</v>
      </c>
      <c r="C29" s="19"/>
      <c r="D29" s="19">
        <f>D20</f>
        <v>2022</v>
      </c>
      <c r="E29" s="19">
        <f>E20</f>
        <v>2021</v>
      </c>
      <c r="F29" s="19">
        <v>2020</v>
      </c>
      <c r="G29" s="19">
        <f>G20</f>
        <v>2019</v>
      </c>
      <c r="H29" s="20"/>
      <c r="I29" s="19">
        <f>I20</f>
        <v>2022</v>
      </c>
      <c r="J29" s="19">
        <f>J20</f>
        <v>2021</v>
      </c>
      <c r="K29" s="19">
        <v>2020</v>
      </c>
      <c r="L29" s="19">
        <f>L20</f>
        <v>2019</v>
      </c>
      <c r="Q29" s="42"/>
      <c r="R29" s="42"/>
      <c r="S29" s="42"/>
      <c r="T29" s="42"/>
      <c r="U29" s="42"/>
      <c r="V29" s="42"/>
      <c r="W29" s="42"/>
    </row>
    <row r="30" spans="2:23">
      <c r="B30" s="4" t="s">
        <v>187</v>
      </c>
      <c r="C30" s="4"/>
      <c r="D30" s="226">
        <f>D21/D25</f>
        <v>0.67360416249749855</v>
      </c>
      <c r="E30" s="226">
        <f>E21/E25</f>
        <v>0.68163156491602239</v>
      </c>
      <c r="F30" s="226">
        <f>F21/F25</f>
        <v>0.65699166908844331</v>
      </c>
      <c r="G30" s="226">
        <f>G21/G25</f>
        <v>0.66541147223339303</v>
      </c>
      <c r="H30" s="14"/>
      <c r="I30" s="233">
        <f>I21/I25</f>
        <v>0.29432394604193834</v>
      </c>
      <c r="J30" s="233">
        <f>J21/J25</f>
        <v>0.34261970443040557</v>
      </c>
      <c r="K30" s="233">
        <f t="shared" ref="K30:L30" si="6">K21/K25</f>
        <v>0.35902862352839393</v>
      </c>
      <c r="L30" s="233">
        <f t="shared" si="6"/>
        <v>0.32197871699202418</v>
      </c>
      <c r="Q30" s="191">
        <f t="shared" ref="Q30:S30" si="7">(D30-E30)/E30</f>
        <v>-1.1776746899203277E-2</v>
      </c>
      <c r="R30" s="191">
        <f t="shared" si="7"/>
        <v>3.750412217824043E-2</v>
      </c>
      <c r="S30" s="191">
        <f t="shared" si="7"/>
        <v>-1.2653528675556825E-2</v>
      </c>
      <c r="T30" s="191"/>
      <c r="U30" s="191">
        <f t="shared" ref="U30:W30" si="8">(I30-J30)/J30</f>
        <v>-0.14096024765638449</v>
      </c>
      <c r="V30" s="191">
        <f t="shared" si="8"/>
        <v>-4.5703651527078469E-2</v>
      </c>
      <c r="W30" s="191">
        <f t="shared" si="8"/>
        <v>0.11506942720467925</v>
      </c>
    </row>
    <row r="31" spans="2:23">
      <c r="B31" s="20" t="s">
        <v>188</v>
      </c>
      <c r="C31" s="20"/>
      <c r="D31" s="227"/>
      <c r="E31" s="227"/>
      <c r="F31" s="227"/>
      <c r="G31" s="227"/>
      <c r="H31" s="20"/>
      <c r="I31" s="235"/>
      <c r="J31" s="235"/>
      <c r="K31" s="235"/>
      <c r="L31" s="235"/>
      <c r="Q31" s="189"/>
      <c r="R31" s="189"/>
      <c r="S31" s="189"/>
      <c r="T31" s="189"/>
      <c r="U31" s="189"/>
      <c r="V31" s="189"/>
      <c r="W31" s="189"/>
    </row>
    <row r="32" spans="2:23">
      <c r="B32" s="4" t="s">
        <v>189</v>
      </c>
      <c r="C32" s="4"/>
      <c r="D32" s="226">
        <f>D22/D25</f>
        <v>0.22882150342837282</v>
      </c>
      <c r="E32" s="226">
        <f>E22/E25</f>
        <v>0.24287923220474539</v>
      </c>
      <c r="F32" s="226">
        <f>F22/F25</f>
        <v>0.19976024411508284</v>
      </c>
      <c r="G32" s="226">
        <f>G22/G25</f>
        <v>0.21116513727927466</v>
      </c>
      <c r="H32" s="14"/>
      <c r="I32" s="233">
        <f>I22/I25</f>
        <v>-0.15871143404612131</v>
      </c>
      <c r="J32" s="233">
        <f>J22/J25</f>
        <v>-0.11557279554605682</v>
      </c>
      <c r="K32" s="233">
        <f t="shared" ref="K32" si="9">K22/K25</f>
        <v>-4.5054937741662839E-2</v>
      </c>
      <c r="L32" s="233">
        <f>L22/L25</f>
        <v>-0.1335260434574064</v>
      </c>
      <c r="Q32" s="191">
        <f>(D32-E32)/E32</f>
        <v>-5.7879501053931234E-2</v>
      </c>
      <c r="R32" s="191">
        <f>(E32-F32)/F32</f>
        <v>0.21585370142430091</v>
      </c>
      <c r="S32" s="191">
        <f>(F32-G32)/G32</f>
        <v>-5.4009356426616868E-2</v>
      </c>
      <c r="T32" s="191"/>
      <c r="U32" s="191">
        <f>(I32-J32)/J32</f>
        <v>0.37325945345739564</v>
      </c>
      <c r="V32" s="191">
        <f>(J32-K32)/K32</f>
        <v>1.5651527077616019</v>
      </c>
      <c r="W32" s="191">
        <f>(K32-L32)/L32</f>
        <v>-0.66257565509282124</v>
      </c>
    </row>
    <row r="33" spans="2:23">
      <c r="B33" s="20" t="s">
        <v>190</v>
      </c>
      <c r="C33" s="20"/>
      <c r="D33" s="227"/>
      <c r="E33" s="227"/>
      <c r="F33" s="227"/>
      <c r="G33" s="227"/>
      <c r="H33" s="20"/>
      <c r="I33" s="235"/>
      <c r="J33" s="235"/>
      <c r="K33" s="235"/>
      <c r="L33" s="235"/>
      <c r="Q33" s="189"/>
      <c r="R33" s="189"/>
      <c r="S33" s="189"/>
      <c r="T33" s="189"/>
      <c r="U33" s="189"/>
      <c r="V33" s="189"/>
      <c r="W33" s="189"/>
    </row>
    <row r="34" spans="2:23">
      <c r="B34" s="4" t="s">
        <v>191</v>
      </c>
      <c r="C34" s="4"/>
      <c r="D34" s="226">
        <f>D23/D25</f>
        <v>0.22882150342837282</v>
      </c>
      <c r="E34" s="226">
        <f>E23/E25</f>
        <v>0.24287923220474539</v>
      </c>
      <c r="F34" s="226">
        <f>F23/F25</f>
        <v>0.19976024411508284</v>
      </c>
      <c r="G34" s="226">
        <f>G23/G25</f>
        <v>0.21116513727927466</v>
      </c>
      <c r="H34" s="14"/>
      <c r="I34" s="233">
        <f>I23/I25</f>
        <v>-0.15593446218886597</v>
      </c>
      <c r="J34" s="233">
        <f t="shared" ref="J34:K34" si="10">J23/J25</f>
        <v>-0.12114650121297142</v>
      </c>
      <c r="K34" s="233">
        <f t="shared" si="10"/>
        <v>-4.7840091573994582E-2</v>
      </c>
      <c r="L34" s="233">
        <f>L23/L25</f>
        <v>-0.13170506012640765</v>
      </c>
      <c r="Q34" s="189">
        <f>(D34-E34)/E34</f>
        <v>-5.7879501053931234E-2</v>
      </c>
      <c r="R34" s="189">
        <f>(E34-F34)/F34</f>
        <v>0.21585370142430091</v>
      </c>
      <c r="S34" s="189">
        <f>(F34-G34)/G34</f>
        <v>-5.4009356426616868E-2</v>
      </c>
      <c r="T34" s="189"/>
      <c r="U34" s="189">
        <f>(I34-J34)/J34</f>
        <v>0.28715613432977732</v>
      </c>
      <c r="V34" s="189">
        <f>(J34-K34)/K34</f>
        <v>1.5323216830718924</v>
      </c>
      <c r="W34" s="189">
        <f>(K34-L34)/L34</f>
        <v>-0.63676345063675843</v>
      </c>
    </row>
    <row r="35" spans="2:23">
      <c r="B35" s="20" t="s">
        <v>192</v>
      </c>
      <c r="C35" s="20"/>
      <c r="D35" s="227"/>
      <c r="E35" s="227"/>
      <c r="F35" s="227"/>
      <c r="G35" s="227"/>
      <c r="H35" s="20"/>
      <c r="I35" s="235"/>
      <c r="J35" s="235"/>
      <c r="K35" s="235"/>
      <c r="L35" s="235"/>
      <c r="Q35" s="189"/>
      <c r="R35" s="189"/>
      <c r="S35" s="189"/>
      <c r="T35" s="189"/>
      <c r="U35" s="189"/>
      <c r="V35" s="189"/>
      <c r="W35" s="189"/>
    </row>
    <row r="36" spans="2:23">
      <c r="B36" s="4" t="s">
        <v>29</v>
      </c>
      <c r="C36" s="4"/>
      <c r="D36" s="226">
        <f>D24/D25</f>
        <v>0.18896601118565876</v>
      </c>
      <c r="E36" s="226">
        <f>E24/E25</f>
        <v>0.22263929618768327</v>
      </c>
      <c r="F36" s="226">
        <f>F24/F25</f>
        <v>0.17817010558946042</v>
      </c>
      <c r="G36" s="226">
        <f>G24/G25</f>
        <v>0.18424548190935791</v>
      </c>
      <c r="H36" s="14"/>
      <c r="I36" s="233">
        <f>I24/I25</f>
        <v>-0.15628517046016113</v>
      </c>
      <c r="J36" s="233">
        <f t="shared" ref="J36:K36" si="11">J24/J25</f>
        <v>-0.12138815399244914</v>
      </c>
      <c r="K36" s="233">
        <f t="shared" si="11"/>
        <v>-4.8136242937289117E-2</v>
      </c>
      <c r="L36" s="233">
        <f>L24/L25</f>
        <v>-0.13193851952781774</v>
      </c>
      <c r="Q36" s="191">
        <f>(D36-E36)/E36</f>
        <v>-0.15124591920034722</v>
      </c>
      <c r="R36" s="191">
        <f>(E36-F36)/F36</f>
        <v>0.24958839447897488</v>
      </c>
      <c r="S36" s="191">
        <f>(F36-G36)/G36</f>
        <v>-3.2974357129073893E-2</v>
      </c>
      <c r="T36" s="191"/>
      <c r="U36" s="191">
        <f>(I36-J36)/J36</f>
        <v>0.28748288296634567</v>
      </c>
      <c r="V36" s="191">
        <f>(J36-K36)/K36</f>
        <v>1.521762119045956</v>
      </c>
      <c r="W36" s="191">
        <f>(K36-L36)/L36</f>
        <v>-0.63516156532937196</v>
      </c>
    </row>
    <row r="37" spans="2:23">
      <c r="B37" s="20" t="s">
        <v>193</v>
      </c>
      <c r="C37" s="20"/>
      <c r="D37" s="227"/>
      <c r="E37" s="227"/>
      <c r="F37" s="227"/>
      <c r="G37" s="227"/>
      <c r="H37" s="20"/>
      <c r="I37" s="235"/>
      <c r="J37" s="235"/>
      <c r="K37" s="235"/>
      <c r="L37" s="235"/>
      <c r="Q37" s="189"/>
      <c r="R37" s="189"/>
      <c r="S37" s="189"/>
      <c r="T37" s="189"/>
      <c r="U37" s="189"/>
      <c r="V37" s="189"/>
      <c r="W37" s="189"/>
    </row>
    <row r="38" spans="2:23">
      <c r="B38" s="4" t="s">
        <v>194</v>
      </c>
      <c r="C38" s="4"/>
      <c r="D38" s="226">
        <f>D24/D26</f>
        <v>0.23359460444768501</v>
      </c>
      <c r="E38" s="226">
        <f>E24/E26</f>
        <v>0.28204747173175904</v>
      </c>
      <c r="F38" s="226">
        <f>F24/F26</f>
        <v>0.23252947311861943</v>
      </c>
      <c r="G38" s="226">
        <f>G24/G26</f>
        <v>0.25422474819660001</v>
      </c>
      <c r="H38" s="14"/>
      <c r="I38" s="233">
        <f>I24/I26</f>
        <v>-0.33492074337250616</v>
      </c>
      <c r="J38" s="233">
        <f t="shared" ref="J38" si="12">J24/J26</f>
        <v>-0.2159559143747278</v>
      </c>
      <c r="K38" s="233">
        <f>K24/K26</f>
        <v>-0.10364023241318536</v>
      </c>
      <c r="L38" s="233">
        <f>L24/L26</f>
        <v>-0.21271222977273194</v>
      </c>
      <c r="Q38" s="191">
        <f>(D38-E38)/E38</f>
        <v>-0.17178975931454218</v>
      </c>
      <c r="R38" s="191">
        <f>(E38-F38)/F38</f>
        <v>0.21295364389304389</v>
      </c>
      <c r="S38" s="191">
        <f>(F38-G38)/G38</f>
        <v>-8.5338957878337396E-2</v>
      </c>
      <c r="T38" s="191"/>
      <c r="U38" s="191">
        <f>(I38-J38)/J38</f>
        <v>0.55087553097226116</v>
      </c>
      <c r="V38" s="191">
        <f>(J38-K38)/K38</f>
        <v>1.0837073532773491</v>
      </c>
      <c r="W38" s="191">
        <f>(K38-L38)/L38</f>
        <v>-0.51276787176779792</v>
      </c>
    </row>
    <row r="39" spans="2:23">
      <c r="B39" s="20" t="s">
        <v>195</v>
      </c>
      <c r="C39" s="20"/>
      <c r="D39" s="227"/>
      <c r="E39" s="227"/>
      <c r="F39" s="227"/>
      <c r="G39" s="227"/>
      <c r="H39" s="20"/>
      <c r="I39" s="235"/>
      <c r="J39" s="235"/>
      <c r="K39" s="235"/>
      <c r="L39" s="235"/>
      <c r="Q39" s="189"/>
      <c r="R39" s="189"/>
      <c r="S39" s="189"/>
      <c r="T39" s="189"/>
      <c r="U39" s="189"/>
      <c r="V39" s="189"/>
      <c r="W39" s="189"/>
    </row>
    <row r="40" spans="2:23">
      <c r="B40" s="4" t="s">
        <v>196</v>
      </c>
      <c r="C40" s="4"/>
      <c r="D40" s="226">
        <f>D24/D27</f>
        <v>9.574763312662106E-2</v>
      </c>
      <c r="E40" s="226">
        <f>E24/E27</f>
        <v>0.1147029414673274</v>
      </c>
      <c r="F40" s="226">
        <f>F24/F27</f>
        <v>8.4130959323933358E-2</v>
      </c>
      <c r="G40" s="226">
        <f>G24/G27</f>
        <v>9.5854889429904652E-2</v>
      </c>
      <c r="H40" s="14"/>
      <c r="I40" s="233">
        <f>I24/I27</f>
        <v>-0.20373733889168283</v>
      </c>
      <c r="J40" s="233">
        <f t="shared" ref="J40:K40" si="13">J24/J27</f>
        <v>-0.14189077649423876</v>
      </c>
      <c r="K40" s="233">
        <f t="shared" si="13"/>
        <v>-6.0091720253227655E-2</v>
      </c>
      <c r="L40" s="233">
        <f>L24/L27</f>
        <v>-0.13282084590337662</v>
      </c>
      <c r="Q40" s="191">
        <f>(D40-E40)/E40</f>
        <v>-0.1652556429523272</v>
      </c>
      <c r="R40" s="191">
        <f>(E40-F40)/F40</f>
        <v>0.36338563578814448</v>
      </c>
      <c r="S40" s="191">
        <f>(F40-G40)/G40</f>
        <v>-0.12230915058897018</v>
      </c>
      <c r="T40" s="191"/>
      <c r="U40" s="191">
        <f>(I40-J40)/J40</f>
        <v>0.4358744375463704</v>
      </c>
      <c r="V40" s="191">
        <f>(J40-K40)/K40</f>
        <v>1.3612367210708618</v>
      </c>
      <c r="W40" s="191">
        <f>(K40-L40)/L40</f>
        <v>-0.54757312495251942</v>
      </c>
    </row>
    <row r="41" spans="2:23">
      <c r="B41" s="20" t="s">
        <v>197</v>
      </c>
      <c r="C41" s="20"/>
      <c r="D41" s="21"/>
      <c r="E41" s="21"/>
      <c r="F41" s="21"/>
      <c r="G41" s="21"/>
      <c r="H41" s="20"/>
      <c r="I41" s="20"/>
      <c r="J41" s="20"/>
      <c r="K41" s="20"/>
      <c r="L41" s="20"/>
      <c r="Q41" s="42"/>
      <c r="R41" s="42"/>
      <c r="S41" s="42"/>
      <c r="T41" s="42"/>
      <c r="U41" s="42"/>
      <c r="V41" s="42"/>
      <c r="W41" s="42"/>
    </row>
    <row r="42" spans="2:23">
      <c r="D42" s="22"/>
      <c r="E42" s="22"/>
      <c r="F42" s="22"/>
      <c r="G42" s="22"/>
      <c r="Q42" s="42"/>
      <c r="R42" s="42"/>
      <c r="S42" s="42"/>
      <c r="T42" s="42"/>
      <c r="U42" s="42"/>
      <c r="V42" s="42"/>
      <c r="W42" s="42"/>
    </row>
    <row r="43" spans="2:23">
      <c r="Q43" s="42"/>
      <c r="R43" s="42"/>
      <c r="S43" s="42"/>
      <c r="T43" s="42"/>
      <c r="U43" s="42"/>
      <c r="V43" s="42"/>
      <c r="W43" s="42"/>
    </row>
    <row r="44" spans="2:23">
      <c r="B44" s="8" t="s">
        <v>198</v>
      </c>
      <c r="C44" s="8"/>
      <c r="D44" s="8">
        <f>D29</f>
        <v>2022</v>
      </c>
      <c r="E44" s="8">
        <f>E29</f>
        <v>2021</v>
      </c>
      <c r="F44" s="8">
        <v>2020</v>
      </c>
      <c r="G44" s="8">
        <f>G29</f>
        <v>2019</v>
      </c>
      <c r="H44" s="23"/>
      <c r="I44" s="8">
        <f>I29</f>
        <v>2022</v>
      </c>
      <c r="J44" s="8">
        <f>J29</f>
        <v>2021</v>
      </c>
      <c r="K44" s="8">
        <v>2020</v>
      </c>
      <c r="L44" s="8">
        <f>L29</f>
        <v>2019</v>
      </c>
      <c r="Q44" s="42"/>
      <c r="R44" s="42"/>
      <c r="S44" s="42"/>
      <c r="T44" s="42"/>
      <c r="U44" s="42"/>
      <c r="V44" s="42"/>
      <c r="W44" s="42"/>
    </row>
    <row r="45" spans="2:23">
      <c r="B45" t="s">
        <v>199</v>
      </c>
      <c r="D45" s="10">
        <f>'Financia Data - J&amp;J'!L63</f>
        <v>39659</v>
      </c>
      <c r="E45" s="10">
        <f>'Financia Data - J&amp;J'!M63</f>
        <v>33751</v>
      </c>
      <c r="F45" s="10">
        <f>'Financia Data - J&amp;J'!N63</f>
        <v>35266</v>
      </c>
      <c r="G45" s="10">
        <f>'Financia Data - J&amp;J'!O63</f>
        <v>27696</v>
      </c>
      <c r="I45" s="10">
        <f>'Financial Data - Honest'!K53</f>
        <v>100000</v>
      </c>
      <c r="J45" s="10">
        <f>'Financial Data - Honest'!L53</f>
        <v>0</v>
      </c>
      <c r="K45" s="10">
        <f>'Financial Data - Honest'!M53</f>
        <v>0</v>
      </c>
      <c r="L45" s="10">
        <f>'Financial Data - Honest'!N53</f>
        <v>0</v>
      </c>
      <c r="Q45" s="42">
        <f t="shared" ref="Q45:S51" si="14">(D45-E45)/E45</f>
        <v>0.1750466652839916</v>
      </c>
      <c r="R45" s="42">
        <f t="shared" si="14"/>
        <v>-4.2959224181931606E-2</v>
      </c>
      <c r="S45" s="42">
        <f t="shared" si="14"/>
        <v>0.27332466782206816</v>
      </c>
      <c r="T45" s="42"/>
      <c r="U45" s="42"/>
      <c r="V45" s="42"/>
      <c r="W45" s="42"/>
    </row>
    <row r="46" spans="2:23">
      <c r="B46" t="s">
        <v>184</v>
      </c>
      <c r="D46" s="10">
        <f>'Financia Data - J&amp;J'!L87</f>
        <v>76804</v>
      </c>
      <c r="E46" s="10">
        <f>'Financia Data - J&amp;J'!M87</f>
        <v>74023</v>
      </c>
      <c r="F46" s="10">
        <f>'Financia Data - J&amp;J'!N87</f>
        <v>63278</v>
      </c>
      <c r="G46" s="10">
        <f>'Financia Data - J&amp;J'!O87</f>
        <v>59471</v>
      </c>
      <c r="I46" s="10">
        <f t="shared" ref="I46:K47" si="15">I26</f>
        <v>146360</v>
      </c>
      <c r="J46" s="10">
        <f t="shared" si="15"/>
        <v>179106</v>
      </c>
      <c r="K46" s="10">
        <f t="shared" si="15"/>
        <v>139579</v>
      </c>
      <c r="L46" s="10">
        <f t="shared" ref="L46" si="16">L26</f>
        <v>146127</v>
      </c>
      <c r="Q46" s="42">
        <f t="shared" si="14"/>
        <v>3.7569404104129796E-2</v>
      </c>
      <c r="R46" s="42">
        <f t="shared" si="14"/>
        <v>0.16980625177786909</v>
      </c>
      <c r="S46" s="42">
        <f t="shared" si="14"/>
        <v>6.4014393569975278E-2</v>
      </c>
      <c r="T46" s="42"/>
      <c r="U46" s="42">
        <f t="shared" ref="U46:W49" si="17">(I46-J46)/J46</f>
        <v>-0.18283027927595949</v>
      </c>
      <c r="V46" s="42">
        <f t="shared" si="17"/>
        <v>0.28318729894898231</v>
      </c>
      <c r="W46" s="42">
        <f t="shared" si="17"/>
        <v>-4.4810336214388853E-2</v>
      </c>
    </row>
    <row r="47" spans="2:23">
      <c r="B47" t="s">
        <v>200</v>
      </c>
      <c r="D47" s="10">
        <f>'Financia Data - J&amp;J'!L48</f>
        <v>187378</v>
      </c>
      <c r="E47" s="10">
        <f>'Financia Data - J&amp;J'!M48</f>
        <v>182018</v>
      </c>
      <c r="F47" s="10">
        <f>'Financia Data - J&amp;J'!N48</f>
        <v>174894</v>
      </c>
      <c r="G47" s="10">
        <f>'Financia Data - J&amp;J'!O48</f>
        <v>157728</v>
      </c>
      <c r="I47" s="10">
        <f t="shared" si="15"/>
        <v>240599</v>
      </c>
      <c r="J47" s="10">
        <f t="shared" si="15"/>
        <v>272597</v>
      </c>
      <c r="K47" s="10">
        <f t="shared" si="15"/>
        <v>240732</v>
      </c>
      <c r="L47" s="10">
        <f t="shared" ref="L47" si="18">L27</f>
        <v>234022</v>
      </c>
      <c r="Q47" s="42">
        <f t="shared" si="14"/>
        <v>2.9447637046885473E-2</v>
      </c>
      <c r="R47" s="42">
        <f t="shared" si="14"/>
        <v>4.0733244136448361E-2</v>
      </c>
      <c r="S47" s="42">
        <f t="shared" si="14"/>
        <v>0.10883292757151553</v>
      </c>
      <c r="T47" s="42"/>
      <c r="U47" s="42">
        <f t="shared" si="17"/>
        <v>-0.11738206950186539</v>
      </c>
      <c r="V47" s="42">
        <f t="shared" si="17"/>
        <v>0.13236711363674128</v>
      </c>
      <c r="W47" s="42">
        <f t="shared" si="17"/>
        <v>2.8672517968396132E-2</v>
      </c>
    </row>
    <row r="48" spans="2:23">
      <c r="B48" t="s">
        <v>201</v>
      </c>
      <c r="D48" s="10">
        <f>'Financia Data - J&amp;J'!U41</f>
        <v>21725</v>
      </c>
      <c r="E48" s="10">
        <f>'Financia Data - J&amp;J'!V41</f>
        <v>22776</v>
      </c>
      <c r="F48" s="10">
        <f>'Financia Data - J&amp;J'!W41</f>
        <v>16497</v>
      </c>
      <c r="G48" s="10">
        <f>'Financia Data - J&amp;J'!X41</f>
        <v>17328</v>
      </c>
      <c r="I48" s="10">
        <f>I22</f>
        <v>-49780</v>
      </c>
      <c r="J48" s="10">
        <f>J22</f>
        <v>-36826</v>
      </c>
      <c r="K48" s="10">
        <f>K22</f>
        <v>-13540</v>
      </c>
      <c r="L48" s="10">
        <f>L22</f>
        <v>-31457</v>
      </c>
      <c r="Q48" s="42">
        <f t="shared" si="14"/>
        <v>-4.6145064980681418E-2</v>
      </c>
      <c r="R48" s="42">
        <f t="shared" si="14"/>
        <v>0.38061465721040189</v>
      </c>
      <c r="S48" s="42">
        <f t="shared" si="14"/>
        <v>-4.7957063711911357E-2</v>
      </c>
      <c r="T48" s="42"/>
      <c r="U48" s="42">
        <f t="shared" si="17"/>
        <v>0.35176234182371152</v>
      </c>
      <c r="V48" s="42">
        <f t="shared" si="17"/>
        <v>1.7197932053175775</v>
      </c>
      <c r="W48" s="42">
        <f t="shared" si="17"/>
        <v>-0.56957116063197377</v>
      </c>
    </row>
    <row r="49" spans="2:23">
      <c r="B49" t="s">
        <v>202</v>
      </c>
      <c r="D49" s="10">
        <f>'Financia Data - J&amp;J'!U24</f>
        <v>276</v>
      </c>
      <c r="E49" s="10">
        <f>'Financia Data - J&amp;J'!V24</f>
        <v>183</v>
      </c>
      <c r="F49" s="10">
        <f>'Financia Data - J&amp;J'!W24</f>
        <v>201</v>
      </c>
      <c r="G49" s="10">
        <f>'Financia Data - J&amp;J'!X24</f>
        <v>318</v>
      </c>
      <c r="I49" s="10">
        <f>'Financial Data - Honest'!R25</f>
        <v>871</v>
      </c>
      <c r="J49" s="10">
        <f>'Financial Data - Honest'!S25</f>
        <v>-1776</v>
      </c>
      <c r="K49" s="10">
        <f>'Financial Data - Honest'!T25</f>
        <v>-837</v>
      </c>
      <c r="L49" s="10">
        <f>'Financial Data - Honest'!U25</f>
        <v>429</v>
      </c>
      <c r="Q49" s="42">
        <f t="shared" si="14"/>
        <v>0.50819672131147542</v>
      </c>
      <c r="R49" s="42">
        <f t="shared" si="14"/>
        <v>-8.9552238805970144E-2</v>
      </c>
      <c r="S49" s="42">
        <f t="shared" si="14"/>
        <v>-0.36792452830188677</v>
      </c>
      <c r="T49" s="42"/>
      <c r="U49" s="42">
        <f t="shared" si="17"/>
        <v>-1.490427927927928</v>
      </c>
      <c r="V49" s="42">
        <f t="shared" si="17"/>
        <v>1.1218637992831542</v>
      </c>
      <c r="W49" s="42">
        <f t="shared" si="17"/>
        <v>-2.9510489510489513</v>
      </c>
    </row>
    <row r="50" spans="2:23">
      <c r="B50" s="25" t="s">
        <v>203</v>
      </c>
      <c r="C50" s="25"/>
      <c r="D50" s="25">
        <f>D44</f>
        <v>2022</v>
      </c>
      <c r="E50" s="25">
        <f>E44</f>
        <v>2021</v>
      </c>
      <c r="F50" s="25">
        <v>2020</v>
      </c>
      <c r="G50" s="25">
        <f>G44</f>
        <v>2019</v>
      </c>
      <c r="H50" s="26"/>
      <c r="I50" s="25">
        <f>I44</f>
        <v>2022</v>
      </c>
      <c r="J50" s="25">
        <f>J44</f>
        <v>2021</v>
      </c>
      <c r="K50" s="25">
        <v>2020</v>
      </c>
      <c r="L50" s="25">
        <f>L44</f>
        <v>2019</v>
      </c>
      <c r="Q50" s="42"/>
      <c r="R50" s="42"/>
      <c r="S50" s="42"/>
      <c r="T50" s="42"/>
      <c r="U50" s="42"/>
      <c r="V50" s="42"/>
      <c r="W50" s="42"/>
    </row>
    <row r="51" spans="2:23">
      <c r="B51" s="8" t="s">
        <v>32</v>
      </c>
      <c r="C51" s="8"/>
      <c r="D51" s="222">
        <f>D45/D46</f>
        <v>0.51636633508671426</v>
      </c>
      <c r="E51" s="222">
        <f>E45/E46</f>
        <v>0.45595287951042246</v>
      </c>
      <c r="F51" s="222">
        <f>F45/F46</f>
        <v>0.55731849932045896</v>
      </c>
      <c r="G51" s="222">
        <f>G45/G46</f>
        <v>0.46570597434043481</v>
      </c>
      <c r="H51" s="23"/>
      <c r="I51" s="224">
        <f>I45/I46</f>
        <v>0.68324678874009293</v>
      </c>
      <c r="J51" s="224">
        <f>J45/J46</f>
        <v>0</v>
      </c>
      <c r="K51" s="224">
        <f>K45/K46</f>
        <v>0</v>
      </c>
      <c r="L51" s="224">
        <f>L45/L46</f>
        <v>0</v>
      </c>
      <c r="Q51" s="191">
        <f t="shared" si="14"/>
        <v>0.13249933993433816</v>
      </c>
      <c r="R51" s="191">
        <f t="shared" si="14"/>
        <v>-0.18188095305221713</v>
      </c>
      <c r="S51" s="191">
        <f t="shared" si="14"/>
        <v>0.19671752141417592</v>
      </c>
      <c r="T51" s="191"/>
      <c r="U51" s="191"/>
      <c r="V51" s="191"/>
      <c r="W51" s="191"/>
    </row>
    <row r="52" spans="2:23">
      <c r="B52" s="24" t="s">
        <v>204</v>
      </c>
      <c r="C52" s="24"/>
      <c r="D52" s="223"/>
      <c r="E52" s="223"/>
      <c r="F52" s="223"/>
      <c r="G52" s="223"/>
      <c r="H52" s="24"/>
      <c r="I52" s="225"/>
      <c r="J52" s="225"/>
      <c r="K52" s="225"/>
      <c r="L52" s="225"/>
      <c r="Q52" s="189"/>
      <c r="R52" s="189"/>
      <c r="S52" s="189"/>
      <c r="T52" s="189"/>
      <c r="U52" s="189"/>
      <c r="V52" s="189"/>
      <c r="W52" s="189"/>
    </row>
    <row r="53" spans="2:23">
      <c r="B53" s="8" t="s">
        <v>38</v>
      </c>
      <c r="C53" s="8"/>
      <c r="D53" s="222">
        <f>D45/(D46+D45)</f>
        <v>0.34052875162068641</v>
      </c>
      <c r="E53" s="222">
        <f>E45/(E46+E45)</f>
        <v>0.31316458515040735</v>
      </c>
      <c r="F53" s="222">
        <f>F45/(F46+F45)</f>
        <v>0.35787059587595388</v>
      </c>
      <c r="G53" s="222">
        <f>G45/(G46+G45)</f>
        <v>0.3177349226197988</v>
      </c>
      <c r="H53" s="23"/>
      <c r="I53" s="224">
        <f>I45/(I46+I45)</f>
        <v>0.40591005033284622</v>
      </c>
      <c r="J53" s="224">
        <f>J45/(J46+J45)</f>
        <v>0</v>
      </c>
      <c r="K53" s="224">
        <f>K45/(K46+K45)</f>
        <v>0</v>
      </c>
      <c r="L53" s="224">
        <f>L45/(L46+L45)</f>
        <v>0</v>
      </c>
      <c r="Q53" s="191">
        <f>(D53-E53)/E53</f>
        <v>8.7379505115933023E-2</v>
      </c>
      <c r="R53" s="191">
        <f>(E53-F53)/F53</f>
        <v>-0.12492227984285877</v>
      </c>
      <c r="S53" s="191">
        <f>(F53-G53)/G53</f>
        <v>0.12631810480644387</v>
      </c>
      <c r="T53" s="191"/>
      <c r="U53" s="191"/>
      <c r="V53" s="191"/>
      <c r="W53" s="191"/>
    </row>
    <row r="54" spans="2:23">
      <c r="B54" s="24" t="s">
        <v>205</v>
      </c>
      <c r="C54" s="24"/>
      <c r="D54" s="223"/>
      <c r="E54" s="223"/>
      <c r="F54" s="223"/>
      <c r="G54" s="223"/>
      <c r="H54" s="24"/>
      <c r="I54" s="225"/>
      <c r="J54" s="225"/>
      <c r="K54" s="225"/>
      <c r="L54" s="225"/>
      <c r="Q54" s="189"/>
      <c r="R54" s="189"/>
      <c r="S54" s="189"/>
      <c r="T54" s="189"/>
      <c r="U54" s="189"/>
      <c r="V54" s="189"/>
      <c r="W54" s="189"/>
    </row>
    <row r="55" spans="2:23">
      <c r="B55" s="8" t="s">
        <v>34</v>
      </c>
      <c r="C55" s="8"/>
      <c r="D55" s="222">
        <f>D47/D46</f>
        <v>2.4396906411124419</v>
      </c>
      <c r="E55" s="222">
        <f>E47/E46</f>
        <v>2.4589384380530377</v>
      </c>
      <c r="F55" s="222">
        <f>F47/F46</f>
        <v>2.7638989854293752</v>
      </c>
      <c r="G55" s="222">
        <f>G47/G46</f>
        <v>2.6521834171276755</v>
      </c>
      <c r="H55" s="23"/>
      <c r="I55" s="224">
        <f>I47/I46</f>
        <v>1.6438849412407761</v>
      </c>
      <c r="J55" s="224">
        <f>J47/J46</f>
        <v>1.5219869797773387</v>
      </c>
      <c r="K55" s="224">
        <f>K47/K46</f>
        <v>1.7247007071264302</v>
      </c>
      <c r="L55" s="224">
        <f>L47/L46</f>
        <v>1.6014973276670295</v>
      </c>
      <c r="Q55" s="191">
        <f>(D55-E55)/E55</f>
        <v>-7.827685574688872E-3</v>
      </c>
      <c r="R55" s="191">
        <f>(E55-F55)/F55</f>
        <v>-0.11033708141434173</v>
      </c>
      <c r="S55" s="191">
        <f>(F55-G55)/G55</f>
        <v>4.2122112513126295E-2</v>
      </c>
      <c r="T55" s="191"/>
      <c r="U55" s="191">
        <f>(I55-J55)/J55</f>
        <v>8.0091330006824821E-2</v>
      </c>
      <c r="V55" s="191">
        <f>(J55-K55)/K55</f>
        <v>-0.11753559705256821</v>
      </c>
      <c r="W55" s="191">
        <f>(K55-L55)/L55</f>
        <v>7.6930118665184691E-2</v>
      </c>
    </row>
    <row r="56" spans="2:23">
      <c r="B56" s="24" t="s">
        <v>206</v>
      </c>
      <c r="C56" s="24"/>
      <c r="D56" s="223"/>
      <c r="E56" s="223"/>
      <c r="F56" s="223"/>
      <c r="G56" s="223"/>
      <c r="H56" s="24"/>
      <c r="I56" s="225"/>
      <c r="J56" s="225"/>
      <c r="K56" s="225"/>
      <c r="L56" s="225"/>
      <c r="Q56" s="189"/>
      <c r="R56" s="189"/>
      <c r="S56" s="189"/>
      <c r="T56" s="189"/>
      <c r="U56" s="189"/>
      <c r="V56" s="189"/>
      <c r="W56" s="189"/>
    </row>
    <row r="57" spans="2:23">
      <c r="B57" s="8" t="s">
        <v>36</v>
      </c>
      <c r="C57" s="8"/>
      <c r="D57" s="222">
        <f>D48/D49</f>
        <v>78.713768115942031</v>
      </c>
      <c r="E57" s="222">
        <f>E48/E49</f>
        <v>124.45901639344262</v>
      </c>
      <c r="F57" s="222">
        <f>F48/F49</f>
        <v>82.074626865671647</v>
      </c>
      <c r="G57" s="222">
        <f>G48/G49</f>
        <v>54.490566037735846</v>
      </c>
      <c r="H57" s="23"/>
      <c r="I57" s="224">
        <f>I48/I49</f>
        <v>-57.152698048220437</v>
      </c>
      <c r="J57" s="224">
        <f>J48/J49</f>
        <v>20.73536036036036</v>
      </c>
      <c r="K57" s="224">
        <f>K48/K49</f>
        <v>16.176821983273594</v>
      </c>
      <c r="L57" s="224">
        <f>L48/L49</f>
        <v>-73.326340326340329</v>
      </c>
      <c r="Q57" s="191">
        <f>(D57-E57)/E57</f>
        <v>-0.36755270612849528</v>
      </c>
      <c r="R57" s="191">
        <f>(E57-F57)/F57</f>
        <v>0.51641282021470369</v>
      </c>
      <c r="S57" s="191">
        <f>(F57-G57)/G57</f>
        <v>0.50621718278414041</v>
      </c>
      <c r="T57" s="191"/>
      <c r="U57" s="191">
        <f>(I57-J57)/J57</f>
        <v>-3.7562915259229759</v>
      </c>
      <c r="V57" s="191">
        <f>(J57-K57)/K57</f>
        <v>0.28179443291149359</v>
      </c>
      <c r="W57" s="191">
        <f>(K57-L57)/L57</f>
        <v>-1.2206140646223216</v>
      </c>
    </row>
    <row r="58" spans="2:23">
      <c r="B58" s="24" t="s">
        <v>207</v>
      </c>
      <c r="C58" s="24"/>
      <c r="D58" s="27"/>
      <c r="E58" s="27"/>
      <c r="F58" s="27"/>
      <c r="G58" s="27"/>
      <c r="H58" s="24"/>
      <c r="I58" s="24"/>
      <c r="J58" s="24"/>
      <c r="K58" s="24"/>
      <c r="L58" s="24"/>
      <c r="Q58" s="42"/>
      <c r="R58" s="42"/>
      <c r="S58" s="42"/>
      <c r="T58" s="42"/>
      <c r="U58" s="42"/>
      <c r="V58" s="42"/>
      <c r="W58" s="42"/>
    </row>
    <row r="59" spans="2:23">
      <c r="Q59" s="42"/>
      <c r="R59" s="42"/>
      <c r="S59" s="42"/>
      <c r="T59" s="42"/>
      <c r="U59" s="42"/>
      <c r="V59" s="42"/>
      <c r="W59" s="42"/>
    </row>
    <row r="60" spans="2:23">
      <c r="B60" s="9" t="s">
        <v>208</v>
      </c>
      <c r="C60" s="9"/>
      <c r="D60" s="9">
        <f>D50</f>
        <v>2022</v>
      </c>
      <c r="E60" s="9">
        <f>E50</f>
        <v>2021</v>
      </c>
      <c r="F60" s="9">
        <v>2020</v>
      </c>
      <c r="G60" s="9">
        <f>G50</f>
        <v>2019</v>
      </c>
      <c r="H60" s="28"/>
      <c r="I60" s="9">
        <f>I50</f>
        <v>2022</v>
      </c>
      <c r="J60" s="9">
        <f>J50</f>
        <v>2021</v>
      </c>
      <c r="K60" s="9">
        <v>2020</v>
      </c>
      <c r="L60" s="9">
        <f>L50</f>
        <v>2019</v>
      </c>
      <c r="Q60" s="42"/>
      <c r="R60" s="42"/>
      <c r="S60" s="42"/>
      <c r="T60" s="42"/>
      <c r="U60" s="42"/>
      <c r="V60" s="42"/>
      <c r="W60" s="42"/>
    </row>
    <row r="61" spans="2:23">
      <c r="B61" t="s">
        <v>169</v>
      </c>
      <c r="D61" s="10">
        <f>'Financia Data - J&amp;J'!L20</f>
        <v>12483</v>
      </c>
      <c r="E61" s="10">
        <f>'Financia Data - J&amp;J'!M20</f>
        <v>10387</v>
      </c>
      <c r="F61" s="10">
        <f>'Financia Data - J&amp;J'!N20</f>
        <v>9344</v>
      </c>
      <c r="G61" s="10">
        <f>'Financia Data - J&amp;J'!O20</f>
        <v>9020</v>
      </c>
      <c r="I61" s="10">
        <f>'Financial Data - Honest'!K18</f>
        <v>115664</v>
      </c>
      <c r="J61" s="10">
        <f>'Financial Data - Honest'!L18</f>
        <v>75668</v>
      </c>
      <c r="K61" s="10">
        <f>'Financial Data - Honest'!M18</f>
        <v>76669</v>
      </c>
      <c r="L61" s="10">
        <f>'Financial Data - Honest'!N18</f>
        <v>52541</v>
      </c>
      <c r="Q61" s="42">
        <f t="shared" ref="Q61:S67" si="19">(D61-E61)/E61</f>
        <v>0.20179069991335322</v>
      </c>
      <c r="R61" s="42">
        <f t="shared" si="19"/>
        <v>0.11162243150684932</v>
      </c>
      <c r="S61" s="42">
        <f t="shared" si="19"/>
        <v>3.5920177383592017E-2</v>
      </c>
      <c r="T61" s="42"/>
      <c r="U61" s="42">
        <f t="shared" ref="U61:W67" si="20">(I61-J61)/J61</f>
        <v>0.52857218375006609</v>
      </c>
      <c r="V61" s="42">
        <f t="shared" si="20"/>
        <v>-1.3056124378823253E-2</v>
      </c>
      <c r="W61" s="42">
        <f t="shared" si="20"/>
        <v>0.45922232161550025</v>
      </c>
    </row>
    <row r="62" spans="2:23">
      <c r="B62" t="s">
        <v>209</v>
      </c>
      <c r="D62" s="10">
        <f>'Financia Data - J&amp;J'!L19</f>
        <v>16160</v>
      </c>
      <c r="E62" s="10">
        <f>'Financia Data - J&amp;J'!M19</f>
        <v>15283</v>
      </c>
      <c r="F62" s="10">
        <f>'Financia Data - J&amp;J'!N19</f>
        <v>13576</v>
      </c>
      <c r="G62" s="10">
        <f>'Financia Data - J&amp;J'!O19</f>
        <v>14481</v>
      </c>
      <c r="I62" s="10">
        <f>'Financial Data - Honest'!K14</f>
        <v>42334</v>
      </c>
      <c r="J62" s="10">
        <f>'Financial Data - Honest'!L14</f>
        <v>31784</v>
      </c>
      <c r="K62" s="10">
        <f>'Financial Data - Honest'!M14</f>
        <v>22795</v>
      </c>
      <c r="L62" s="10">
        <f>'Financial Data - Honest'!N14</f>
        <v>24256</v>
      </c>
      <c r="Q62" s="42">
        <f t="shared" si="19"/>
        <v>5.7384021461754892E-2</v>
      </c>
      <c r="R62" s="42">
        <f t="shared" si="19"/>
        <v>0.12573659398939305</v>
      </c>
      <c r="S62" s="42">
        <f t="shared" si="19"/>
        <v>-6.2495683999723779E-2</v>
      </c>
      <c r="T62" s="42"/>
      <c r="U62" s="42">
        <f t="shared" si="20"/>
        <v>0.33192801409514222</v>
      </c>
      <c r="V62" s="42">
        <f t="shared" si="20"/>
        <v>0.39434086422461068</v>
      </c>
      <c r="W62" s="42">
        <f t="shared" si="20"/>
        <v>-6.0232519788918207E-2</v>
      </c>
    </row>
    <row r="63" spans="2:23">
      <c r="B63" t="s">
        <v>210</v>
      </c>
      <c r="D63" s="10">
        <f>'Financia Data - J&amp;J'!L51</f>
        <v>11703</v>
      </c>
      <c r="E63" s="10">
        <v>11055</v>
      </c>
      <c r="F63" s="10">
        <v>9505</v>
      </c>
      <c r="G63" s="10">
        <v>8544</v>
      </c>
      <c r="H63" s="10"/>
      <c r="I63" s="10">
        <f>'Financial Data - Honest'!K42</f>
        <v>24755</v>
      </c>
      <c r="J63" s="10">
        <f>'Financial Data - Honest'!L42</f>
        <v>28743</v>
      </c>
      <c r="K63" s="10">
        <f>'Financial Data - Honest'!M42</f>
        <v>31132</v>
      </c>
      <c r="L63" s="10">
        <f>'Financial Data - Honest'!N42</f>
        <v>20775</v>
      </c>
      <c r="Q63" s="42">
        <f t="shared" si="19"/>
        <v>5.8616010854816825E-2</v>
      </c>
      <c r="R63" s="42">
        <f t="shared" si="19"/>
        <v>0.16307206733298263</v>
      </c>
      <c r="S63" s="42">
        <f t="shared" si="19"/>
        <v>0.11247659176029963</v>
      </c>
      <c r="T63" s="42"/>
      <c r="U63" s="42">
        <f t="shared" si="20"/>
        <v>-0.13874682531398949</v>
      </c>
      <c r="V63" s="42">
        <f t="shared" si="20"/>
        <v>-7.6737761788513423E-2</v>
      </c>
      <c r="W63" s="42">
        <f t="shared" si="20"/>
        <v>0.49853188929001202</v>
      </c>
    </row>
    <row r="64" spans="2:23">
      <c r="B64" t="s">
        <v>211</v>
      </c>
      <c r="D64" s="10">
        <f>'Financia Data - J&amp;J'!AC36</f>
        <v>-32384</v>
      </c>
      <c r="E64" s="10">
        <f>'Financia Data - J&amp;J'!AD36</f>
        <v>-30394</v>
      </c>
      <c r="F64" s="10">
        <f>'Financia Data - J&amp;J'!AE36</f>
        <v>-21089</v>
      </c>
      <c r="G64" s="10">
        <f>'Financia Data - J&amp;J'!AF36</f>
        <v>-3920</v>
      </c>
      <c r="H64" s="10"/>
      <c r="I64" s="10">
        <f>'Financial Data - Honest'!Y32</f>
        <v>-12782</v>
      </c>
      <c r="J64" s="10">
        <f>'Financial Data - Honest'!Z32</f>
        <v>-65267</v>
      </c>
      <c r="K64" s="10">
        <f>'Financial Data - Honest'!AA32</f>
        <v>-22462</v>
      </c>
      <c r="L64" s="10">
        <f>'Financial Data - Honest'!AB32</f>
        <v>-74433</v>
      </c>
      <c r="Q64" s="42">
        <f t="shared" si="19"/>
        <v>6.5473448706981643E-2</v>
      </c>
      <c r="R64" s="42">
        <f t="shared" si="19"/>
        <v>0.44122528332305944</v>
      </c>
      <c r="S64" s="42">
        <f t="shared" si="19"/>
        <v>4.3798469387755103</v>
      </c>
      <c r="T64" s="42"/>
      <c r="U64" s="42">
        <f t="shared" si="20"/>
        <v>-0.80415830358374063</v>
      </c>
      <c r="V64" s="42">
        <f t="shared" si="20"/>
        <v>1.9056628973377259</v>
      </c>
      <c r="W64" s="42">
        <f t="shared" si="20"/>
        <v>-0.69822524955328957</v>
      </c>
    </row>
    <row r="65" spans="2:23">
      <c r="B65" t="s">
        <v>212</v>
      </c>
      <c r="D65" s="10">
        <f>'Financia Data - J&amp;J'!U12</f>
        <v>94943</v>
      </c>
      <c r="E65" s="10">
        <f>'Financia Data - J&amp;J'!V12</f>
        <v>93775</v>
      </c>
      <c r="F65" s="10">
        <f>'Financia Data - J&amp;J'!W12</f>
        <v>82584</v>
      </c>
      <c r="G65" s="10">
        <f>'Financia Data - J&amp;J'!X12</f>
        <v>82059</v>
      </c>
      <c r="I65" s="10">
        <f>'Financial Data - Honest'!R10</f>
        <v>313651</v>
      </c>
      <c r="J65" s="10">
        <f>'Financial Data - Honest'!S10</f>
        <v>318639</v>
      </c>
      <c r="K65" s="10">
        <f>'Financial Data - Honest'!T10</f>
        <v>300522</v>
      </c>
      <c r="L65" s="10">
        <f>'Financial Data - Honest'!U10</f>
        <v>235587</v>
      </c>
      <c r="Q65" s="42">
        <f t="shared" si="19"/>
        <v>1.2455345241268996E-2</v>
      </c>
      <c r="R65" s="42">
        <f t="shared" si="19"/>
        <v>0.13551051051051052</v>
      </c>
      <c r="S65" s="42">
        <f t="shared" si="19"/>
        <v>6.3978357035791317E-3</v>
      </c>
      <c r="T65" s="42"/>
      <c r="U65" s="42">
        <f t="shared" si="20"/>
        <v>-1.5654078753699327E-2</v>
      </c>
      <c r="V65" s="42">
        <f t="shared" si="20"/>
        <v>6.0285103919180627E-2</v>
      </c>
      <c r="W65" s="42">
        <f t="shared" si="20"/>
        <v>0.27563065873753645</v>
      </c>
    </row>
    <row r="66" spans="2:23">
      <c r="B66" s="31" t="s">
        <v>213</v>
      </c>
      <c r="C66" s="31"/>
      <c r="D66" s="31">
        <f>D60</f>
        <v>2022</v>
      </c>
      <c r="E66" s="31">
        <f>E60</f>
        <v>2021</v>
      </c>
      <c r="F66" s="31">
        <v>2020</v>
      </c>
      <c r="G66" s="31">
        <f>G60</f>
        <v>2019</v>
      </c>
      <c r="H66" s="32"/>
      <c r="I66" s="31">
        <f>I60</f>
        <v>2022</v>
      </c>
      <c r="J66" s="31">
        <f>J60</f>
        <v>2021</v>
      </c>
      <c r="K66" s="31">
        <v>2020</v>
      </c>
      <c r="L66" s="31">
        <f>L60</f>
        <v>2019</v>
      </c>
      <c r="Q66" s="42"/>
      <c r="R66" s="42"/>
      <c r="S66" s="42"/>
      <c r="T66" s="42"/>
      <c r="U66" s="42"/>
      <c r="V66" s="42"/>
      <c r="W66" s="42"/>
    </row>
    <row r="67" spans="2:23">
      <c r="B67" s="29" t="s">
        <v>18</v>
      </c>
      <c r="C67" s="29"/>
      <c r="D67" s="228">
        <f>(D61/D64)*360</f>
        <v>-138.76852766798419</v>
      </c>
      <c r="E67" s="228">
        <f>(E61/E64)*360</f>
        <v>-123.02822925577416</v>
      </c>
      <c r="F67" s="228">
        <f>(F61/F64)*360</f>
        <v>-159.50685191331974</v>
      </c>
      <c r="G67" s="228">
        <f>(G61/G64)*360</f>
        <v>-828.36734693877554</v>
      </c>
      <c r="H67" s="30"/>
      <c r="I67" s="234">
        <f>(I61/I64)*360</f>
        <v>-3257.6310436551398</v>
      </c>
      <c r="J67" s="234">
        <f>(J61/J64)*360</f>
        <v>-417.36988064412338</v>
      </c>
      <c r="K67" s="234">
        <f>(K61/K64)*360</f>
        <v>-1228.7792716588015</v>
      </c>
      <c r="L67" s="234">
        <f>(L61/L64)*360</f>
        <v>-254.11793156261336</v>
      </c>
      <c r="Q67" s="191">
        <f t="shared" si="19"/>
        <v>0.12794054264965593</v>
      </c>
      <c r="R67" s="191">
        <f t="shared" si="19"/>
        <v>-0.22869627367085787</v>
      </c>
      <c r="S67" s="191">
        <f t="shared" si="19"/>
        <v>-0.80744430293784997</v>
      </c>
      <c r="T67" s="191"/>
      <c r="U67" s="191">
        <f t="shared" si="20"/>
        <v>6.8051416614626463</v>
      </c>
      <c r="V67" s="191">
        <f t="shared" si="20"/>
        <v>-0.66033779192849562</v>
      </c>
      <c r="W67" s="191">
        <f t="shared" si="20"/>
        <v>3.8354685720241526</v>
      </c>
    </row>
    <row r="68" spans="2:23">
      <c r="B68" s="33" t="s">
        <v>214</v>
      </c>
      <c r="C68" s="33"/>
      <c r="D68" s="223"/>
      <c r="E68" s="223"/>
      <c r="F68" s="223"/>
      <c r="G68" s="223"/>
      <c r="H68" s="33"/>
      <c r="I68" s="225"/>
      <c r="J68" s="225"/>
      <c r="K68" s="225"/>
      <c r="L68" s="225"/>
      <c r="Q68" s="189"/>
      <c r="R68" s="189"/>
      <c r="S68" s="189"/>
      <c r="T68" s="189"/>
      <c r="U68" s="189"/>
      <c r="V68" s="189"/>
      <c r="W68" s="189"/>
    </row>
    <row r="69" spans="2:23">
      <c r="B69" s="29" t="s">
        <v>215</v>
      </c>
      <c r="C69" s="29"/>
      <c r="D69" s="228">
        <f>(D62/D65)*360</f>
        <v>61.274659532561643</v>
      </c>
      <c r="E69" s="228">
        <f>(E62/E65)*360</f>
        <v>58.671074380165287</v>
      </c>
      <c r="F69" s="228">
        <f>(F62/F65)*360</f>
        <v>59.180470793374013</v>
      </c>
      <c r="G69" s="228">
        <f>(G62/G65)*360</f>
        <v>63.529411764705884</v>
      </c>
      <c r="H69" s="30"/>
      <c r="I69" s="234">
        <f>(I62/I65)*360</f>
        <v>48.589802041122141</v>
      </c>
      <c r="J69" s="234">
        <f>(J62/J65)*360</f>
        <v>35.909728564300039</v>
      </c>
      <c r="K69" s="234">
        <f>(K62/K65)*360</f>
        <v>27.306486713119174</v>
      </c>
      <c r="L69" s="234">
        <f>(L62/L65)*360</f>
        <v>37.065542665766785</v>
      </c>
      <c r="Q69" s="191">
        <f>(D69-E69)/E69</f>
        <v>4.4375958338962004E-2</v>
      </c>
      <c r="R69" s="191">
        <f>(E69-F69)/F69</f>
        <v>-8.6075086321509928E-3</v>
      </c>
      <c r="S69" s="191">
        <f>(F69-G69)/G69</f>
        <v>-6.8455552326520189E-2</v>
      </c>
      <c r="T69" s="191"/>
      <c r="U69" s="191">
        <f>(I69-J69)/J69</f>
        <v>0.3531096998997677</v>
      </c>
      <c r="V69" s="191">
        <f>(J69-K69)/K69</f>
        <v>0.31506220267609564</v>
      </c>
      <c r="W69" s="191">
        <f>(K69-L69)/L69</f>
        <v>-0.2632918676153887</v>
      </c>
    </row>
    <row r="70" spans="2:23">
      <c r="B70" s="33" t="s">
        <v>216</v>
      </c>
      <c r="C70" s="33"/>
      <c r="D70" s="223"/>
      <c r="E70" s="223"/>
      <c r="F70" s="223"/>
      <c r="G70" s="223"/>
      <c r="H70" s="33"/>
      <c r="I70" s="225"/>
      <c r="J70" s="225"/>
      <c r="K70" s="225"/>
      <c r="L70" s="225"/>
      <c r="Q70" s="189"/>
      <c r="R70" s="189"/>
      <c r="S70" s="189"/>
      <c r="T70" s="189"/>
      <c r="U70" s="189"/>
      <c r="V70" s="189"/>
      <c r="W70" s="189"/>
    </row>
    <row r="71" spans="2:23">
      <c r="B71" s="29" t="s">
        <v>217</v>
      </c>
      <c r="C71" s="29"/>
      <c r="D71" s="228">
        <f>(D63/D64)*360</f>
        <v>-130.09757905138341</v>
      </c>
      <c r="E71" s="228">
        <f>(E63/E64)*360</f>
        <v>-130.94031716786208</v>
      </c>
      <c r="F71" s="228">
        <f>(F63/F64)*360</f>
        <v>-162.25520413485702</v>
      </c>
      <c r="G71" s="228">
        <f>(G63/G64)*360</f>
        <v>-784.65306122448976</v>
      </c>
      <c r="H71" s="30"/>
      <c r="I71" s="234">
        <f>(I63/I64)*360</f>
        <v>-697.21483335941173</v>
      </c>
      <c r="J71" s="234">
        <f>(J63/J64)*360</f>
        <v>-158.54076332603</v>
      </c>
      <c r="K71" s="234">
        <f>(K63/K64)*360</f>
        <v>-498.95467901344489</v>
      </c>
      <c r="L71" s="234">
        <f>(L63/L64)*360</f>
        <v>-100.47962597235097</v>
      </c>
      <c r="Q71" s="191">
        <f>(D71-E71)/E71</f>
        <v>-6.4360476185367915E-3</v>
      </c>
      <c r="R71" s="191">
        <f>(E71-F71)/F71</f>
        <v>-0.19299773547459129</v>
      </c>
      <c r="S71" s="191">
        <f>(F71-G71)/G71</f>
        <v>-0.79321408128880577</v>
      </c>
      <c r="T71" s="191"/>
      <c r="U71" s="191">
        <f>(I71-J71)/J71</f>
        <v>3.3977007473190306</v>
      </c>
      <c r="V71" s="191">
        <f>(J71-K71)/K71</f>
        <v>-0.68225418060112442</v>
      </c>
      <c r="W71" s="191">
        <f>(K71-L71)/L71</f>
        <v>3.9657298600090578</v>
      </c>
    </row>
    <row r="72" spans="2:23">
      <c r="B72" s="33" t="s">
        <v>218</v>
      </c>
      <c r="C72" s="33"/>
      <c r="D72" s="223"/>
      <c r="E72" s="223"/>
      <c r="F72" s="223"/>
      <c r="G72" s="223"/>
      <c r="H72" s="33"/>
      <c r="I72" s="225"/>
      <c r="J72" s="225"/>
      <c r="K72" s="225"/>
      <c r="L72" s="225"/>
      <c r="Q72" s="189"/>
      <c r="R72" s="189"/>
      <c r="S72" s="189"/>
      <c r="T72" s="189"/>
      <c r="U72" s="189"/>
      <c r="V72" s="189"/>
      <c r="W72" s="189"/>
    </row>
    <row r="73" spans="2:23">
      <c r="B73" s="29" t="s">
        <v>219</v>
      </c>
      <c r="C73" s="29"/>
      <c r="D73" s="228">
        <f>D67+D69-D71</f>
        <v>52.60371091596086</v>
      </c>
      <c r="E73" s="228">
        <f>E67+E69-E71</f>
        <v>66.583162292253206</v>
      </c>
      <c r="F73" s="228">
        <f>F67+F69-F71</f>
        <v>61.928823014911302</v>
      </c>
      <c r="G73" s="228">
        <f>G67+G69-G71</f>
        <v>19.815126050420076</v>
      </c>
      <c r="H73" s="30"/>
      <c r="I73" s="234">
        <f>I67+I69-I71</f>
        <v>-2511.8264082546057</v>
      </c>
      <c r="J73" s="234">
        <f>J67+J69-J71</f>
        <v>-222.91938875379333</v>
      </c>
      <c r="K73" s="234">
        <f>K67+K69-K71</f>
        <v>-702.51810593223729</v>
      </c>
      <c r="L73" s="234">
        <f>L67+L69-L71</f>
        <v>-116.57276292449562</v>
      </c>
      <c r="Q73" s="191">
        <f>(D73-E73)/E73</f>
        <v>-0.20995475274863631</v>
      </c>
      <c r="R73" s="191">
        <f>(E73-F73)/F73</f>
        <v>7.5156268935084175E-2</v>
      </c>
      <c r="S73" s="191">
        <f>(F73-G73)/G73</f>
        <v>2.1253307628390496</v>
      </c>
      <c r="T73" s="191"/>
      <c r="U73" s="191">
        <f>(I73-J73)/J73</f>
        <v>10.267868722845057</v>
      </c>
      <c r="V73" s="191">
        <f>(J73-K73)/K73</f>
        <v>-0.68268520501976149</v>
      </c>
      <c r="W73" s="191">
        <f>(K73-L73)/L73</f>
        <v>5.0264343771903182</v>
      </c>
    </row>
    <row r="74" spans="2:23">
      <c r="B74" s="33" t="s">
        <v>220</v>
      </c>
      <c r="C74" s="33"/>
      <c r="D74" s="34"/>
      <c r="E74" s="34"/>
      <c r="F74" s="34"/>
      <c r="G74" s="34"/>
      <c r="H74" s="33"/>
      <c r="I74" s="34"/>
      <c r="J74" s="34"/>
      <c r="K74" s="34"/>
      <c r="L74" s="34"/>
      <c r="Q74" s="42"/>
      <c r="R74" s="42"/>
      <c r="S74" s="42"/>
      <c r="T74" s="42"/>
      <c r="U74" s="42"/>
      <c r="V74" s="42"/>
      <c r="W74" s="42"/>
    </row>
    <row r="75" spans="2:23">
      <c r="Q75" s="42"/>
      <c r="R75" s="42"/>
      <c r="S75" s="42"/>
      <c r="T75" s="42"/>
      <c r="U75" s="42"/>
      <c r="V75" s="42"/>
      <c r="W75" s="42"/>
    </row>
    <row r="76" spans="2:23">
      <c r="B76" s="6" t="s">
        <v>221</v>
      </c>
      <c r="C76" s="6"/>
      <c r="D76" s="6">
        <f>D66</f>
        <v>2022</v>
      </c>
      <c r="E76" s="6">
        <f>E66</f>
        <v>2021</v>
      </c>
      <c r="F76" s="6">
        <v>2020</v>
      </c>
      <c r="G76" s="6">
        <f>G66</f>
        <v>2019</v>
      </c>
      <c r="H76" s="7"/>
      <c r="I76" s="6">
        <f>I66</f>
        <v>2022</v>
      </c>
      <c r="J76" s="6">
        <f>J66</f>
        <v>2021</v>
      </c>
      <c r="K76" s="6">
        <v>2020</v>
      </c>
      <c r="L76" s="6">
        <f>L66</f>
        <v>2019</v>
      </c>
      <c r="Q76" s="42"/>
      <c r="R76" s="42"/>
      <c r="S76" s="42"/>
      <c r="T76" s="42"/>
      <c r="U76" s="42"/>
      <c r="V76" s="42"/>
      <c r="W76" s="42"/>
    </row>
    <row r="77" spans="2:23">
      <c r="B77" t="s">
        <v>222</v>
      </c>
      <c r="D77" s="10">
        <f>D24</f>
        <v>17941</v>
      </c>
      <c r="E77" s="10">
        <f>E24</f>
        <v>20878</v>
      </c>
      <c r="F77" s="10">
        <v>14714</v>
      </c>
      <c r="G77" s="10">
        <f>G24</f>
        <v>15119</v>
      </c>
      <c r="I77" s="10">
        <f>I24</f>
        <v>-49019</v>
      </c>
      <c r="J77" s="10">
        <f>J24</f>
        <v>-38679</v>
      </c>
      <c r="K77" s="10">
        <f>K24</f>
        <v>-14466</v>
      </c>
      <c r="L77" s="10">
        <f>L24</f>
        <v>-31083</v>
      </c>
      <c r="Q77" s="42">
        <f t="shared" ref="Q77:S81" si="21">(D77-E77)/E77</f>
        <v>-0.14067439409905164</v>
      </c>
      <c r="R77" s="42">
        <f t="shared" si="21"/>
        <v>0.41892075574282994</v>
      </c>
      <c r="S77" s="42">
        <f t="shared" si="21"/>
        <v>-2.6787485944837621E-2</v>
      </c>
      <c r="T77" s="42"/>
      <c r="U77" s="42">
        <f t="shared" ref="U77:W78" si="22">(I77-J77)/J77</f>
        <v>0.26732852452235062</v>
      </c>
      <c r="V77" s="42">
        <f t="shared" si="22"/>
        <v>1.6737868104520945</v>
      </c>
      <c r="W77" s="42">
        <f t="shared" si="22"/>
        <v>-0.53460090724833509</v>
      </c>
    </row>
    <row r="78" spans="2:23">
      <c r="B78" t="s">
        <v>223</v>
      </c>
      <c r="D78" s="10">
        <f>'Financia Data - J&amp;J'!U71</f>
        <v>2625</v>
      </c>
      <c r="E78" s="10">
        <f>'Financia Data - J&amp;J'!V71</f>
        <v>2632</v>
      </c>
      <c r="F78" s="10">
        <f>'Financia Data - J&amp;J'!W71</f>
        <v>2633</v>
      </c>
      <c r="G78" s="10">
        <f>'Financia Data - J&amp;J'!X71</f>
        <v>2645</v>
      </c>
      <c r="I78">
        <f>'Financial Data - Honest'!R64</f>
        <v>92201.8</v>
      </c>
      <c r="J78">
        <f>'Financial Data - Honest'!S64</f>
        <v>71126.2</v>
      </c>
      <c r="K78">
        <f>'Financial Data - Honest'!T64</f>
        <v>90189.8</v>
      </c>
      <c r="L78">
        <f>'Financial Data - Honest'!U64</f>
        <v>90189.8</v>
      </c>
      <c r="Q78" s="42">
        <f t="shared" si="21"/>
        <v>-2.6595744680851063E-3</v>
      </c>
      <c r="R78" s="42">
        <f t="shared" si="21"/>
        <v>-3.7979491074819596E-4</v>
      </c>
      <c r="S78" s="42">
        <f t="shared" si="21"/>
        <v>-4.5368620037807179E-3</v>
      </c>
      <c r="T78" s="42"/>
      <c r="U78" s="42">
        <f t="shared" si="22"/>
        <v>0.29631275113811795</v>
      </c>
      <c r="V78" s="42">
        <f t="shared" si="22"/>
        <v>-0.2113720176782741</v>
      </c>
      <c r="W78" s="42">
        <f t="shared" si="22"/>
        <v>0</v>
      </c>
    </row>
    <row r="79" spans="2:23">
      <c r="B79" t="s">
        <v>224</v>
      </c>
      <c r="D79" s="10">
        <f>'Stock Valuation - 2Y'!K6</f>
        <v>176.65</v>
      </c>
      <c r="E79" s="10">
        <f>'Stock Valuation - 2Y'!K7</f>
        <v>171.07</v>
      </c>
      <c r="F79" s="10">
        <f>'Stock Valuation - 2Y'!K8</f>
        <v>157.38</v>
      </c>
      <c r="G79" s="10">
        <f>'Stock Valuation - 2Y'!K9</f>
        <v>145.87</v>
      </c>
      <c r="H79" s="13"/>
      <c r="I79" s="22">
        <f>'Stock Valuation - 2Y'!N6</f>
        <v>3.01</v>
      </c>
      <c r="J79" s="22">
        <f>'Stock Valuation - 2Y'!N7</f>
        <v>8.09</v>
      </c>
      <c r="K79" s="22">
        <f>'Stock Valuation - 2Y'!N8</f>
        <v>0</v>
      </c>
      <c r="L79" s="22">
        <f>'Stock Valuation - 2Y'!N9</f>
        <v>0</v>
      </c>
      <c r="Q79" s="42">
        <f t="shared" si="21"/>
        <v>3.2618226457005982E-2</v>
      </c>
      <c r="R79" s="42">
        <f t="shared" si="21"/>
        <v>8.6986910662091743E-2</v>
      </c>
      <c r="S79" s="42">
        <f t="shared" si="21"/>
        <v>7.8905875094261946E-2</v>
      </c>
      <c r="T79" s="42"/>
      <c r="U79" s="42">
        <f>(I79-J79)/J79</f>
        <v>-0.62793572311495671</v>
      </c>
      <c r="V79" s="42"/>
      <c r="W79" s="42"/>
    </row>
    <row r="80" spans="2:23">
      <c r="B80" t="s">
        <v>225</v>
      </c>
      <c r="D80" s="37">
        <f>'Financia Data - J&amp;J'!U80</f>
        <v>4.45</v>
      </c>
      <c r="E80" s="37">
        <f>'Financia Data - J&amp;J'!V80</f>
        <v>4.1900000000000004</v>
      </c>
      <c r="F80" s="37">
        <f>'Financia Data - J&amp;J'!W80</f>
        <v>3.98</v>
      </c>
      <c r="G80" s="37">
        <f>'Financia Data - J&amp;J'!X80</f>
        <v>3.75</v>
      </c>
      <c r="H80" s="13"/>
      <c r="I80" s="22">
        <f>'Financial Data - Honest'!R73</f>
        <v>0</v>
      </c>
      <c r="J80" s="22">
        <f>'Financial Data - Honest'!S73</f>
        <v>0</v>
      </c>
      <c r="K80" s="22">
        <f>'Financial Data - Honest'!T73</f>
        <v>0</v>
      </c>
      <c r="L80" s="22">
        <f>'Financial Data - Honest'!U73</f>
        <v>0</v>
      </c>
      <c r="Q80" s="42">
        <f t="shared" si="21"/>
        <v>6.2052505966587054E-2</v>
      </c>
      <c r="R80" s="42">
        <f t="shared" si="21"/>
        <v>5.276381909547749E-2</v>
      </c>
      <c r="S80" s="42">
        <f t="shared" si="21"/>
        <v>6.133333333333333E-2</v>
      </c>
      <c r="T80" s="42"/>
      <c r="U80" s="42"/>
      <c r="V80" s="42"/>
      <c r="W80" s="42"/>
    </row>
    <row r="81" spans="2:23">
      <c r="B81" t="s">
        <v>184</v>
      </c>
      <c r="D81" s="11">
        <f>D46</f>
        <v>76804</v>
      </c>
      <c r="E81" s="11">
        <f>E46</f>
        <v>74023</v>
      </c>
      <c r="F81" s="11">
        <f>F46</f>
        <v>63278</v>
      </c>
      <c r="G81" s="11">
        <f>G46</f>
        <v>59471</v>
      </c>
      <c r="I81" s="11">
        <f>I46</f>
        <v>146360</v>
      </c>
      <c r="J81" s="11">
        <f>J46</f>
        <v>179106</v>
      </c>
      <c r="K81" s="11">
        <f>K46</f>
        <v>139579</v>
      </c>
      <c r="L81" s="11">
        <f>L46</f>
        <v>146127</v>
      </c>
      <c r="Q81" s="42">
        <f t="shared" si="21"/>
        <v>3.7569404104129796E-2</v>
      </c>
      <c r="R81" s="42">
        <f t="shared" si="21"/>
        <v>0.16980625177786909</v>
      </c>
      <c r="S81" s="42">
        <f t="shared" si="21"/>
        <v>6.4014393569975278E-2</v>
      </c>
      <c r="T81" s="42"/>
      <c r="U81" s="42">
        <f>(I81-J81)/J81</f>
        <v>-0.18283027927595949</v>
      </c>
      <c r="V81" s="42">
        <f>(J81-K81)/K81</f>
        <v>0.28318729894898231</v>
      </c>
      <c r="W81" s="42">
        <f>(K81-L81)/L81</f>
        <v>-4.4810336214388853E-2</v>
      </c>
    </row>
    <row r="82" spans="2:23">
      <c r="Q82" s="42"/>
      <c r="R82" s="42"/>
      <c r="S82" s="42"/>
      <c r="T82" s="42"/>
      <c r="U82" s="42"/>
      <c r="V82" s="42"/>
      <c r="W82" s="42"/>
    </row>
    <row r="83" spans="2:23">
      <c r="B83" s="6" t="s">
        <v>226</v>
      </c>
      <c r="C83" s="6"/>
      <c r="D83" s="6">
        <f>D76</f>
        <v>2022</v>
      </c>
      <c r="E83" s="6">
        <f>E76</f>
        <v>2021</v>
      </c>
      <c r="F83" s="6">
        <v>2020</v>
      </c>
      <c r="G83" s="6">
        <f>G76</f>
        <v>2019</v>
      </c>
      <c r="H83" s="7"/>
      <c r="I83" s="6">
        <f>I76</f>
        <v>2022</v>
      </c>
      <c r="J83" s="6">
        <f>J76</f>
        <v>2021</v>
      </c>
      <c r="K83" s="6">
        <v>2020</v>
      </c>
      <c r="L83" s="6">
        <f>L76</f>
        <v>2019</v>
      </c>
      <c r="Q83" s="42"/>
      <c r="R83" s="42"/>
      <c r="S83" s="42"/>
      <c r="T83" s="42"/>
      <c r="U83" s="42"/>
      <c r="V83" s="42"/>
      <c r="W83" s="42"/>
    </row>
    <row r="84" spans="2:23">
      <c r="B84" s="6" t="s">
        <v>227</v>
      </c>
      <c r="C84" s="6"/>
      <c r="D84" s="222">
        <f>D77/D78</f>
        <v>6.8346666666666662</v>
      </c>
      <c r="E84" s="222">
        <f>E77/E78</f>
        <v>7.9323708206686927</v>
      </c>
      <c r="F84" s="222">
        <f>F77/F78</f>
        <v>5.5883023167489556</v>
      </c>
      <c r="G84" s="222">
        <f>G77/G78</f>
        <v>5.7160680529300567</v>
      </c>
      <c r="H84" s="7"/>
      <c r="I84" s="224">
        <f>I77/I78</f>
        <v>-0.53164905674292695</v>
      </c>
      <c r="J84" s="224">
        <f>J77/J78</f>
        <v>-0.54380804822976625</v>
      </c>
      <c r="K84" s="224">
        <f>K77/K78</f>
        <v>-0.16039507793564239</v>
      </c>
      <c r="L84" s="224">
        <f>L77/L78</f>
        <v>-0.34463985949630666</v>
      </c>
      <c r="Q84" s="189">
        <f t="shared" ref="Q84:S84" si="23">(D84-E84)/E84</f>
        <v>-0.13838285914998247</v>
      </c>
      <c r="R84" s="189">
        <f t="shared" si="23"/>
        <v>0.41945985937343128</v>
      </c>
      <c r="S84" s="189">
        <f t="shared" si="23"/>
        <v>-2.235203202586232E-2</v>
      </c>
      <c r="T84" s="189"/>
      <c r="U84" s="189">
        <f t="shared" ref="U84:W84" si="24">(I84-J84)/J84</f>
        <v>-2.2358976713235331E-2</v>
      </c>
      <c r="V84" s="189">
        <f t="shared" si="24"/>
        <v>2.3904285295335939</v>
      </c>
      <c r="W84" s="189">
        <f t="shared" si="24"/>
        <v>-0.53460090724833509</v>
      </c>
    </row>
    <row r="85" spans="2:23">
      <c r="B85" s="7" t="s">
        <v>228</v>
      </c>
      <c r="C85" s="7"/>
      <c r="D85" s="229"/>
      <c r="E85" s="229"/>
      <c r="F85" s="229"/>
      <c r="G85" s="229"/>
      <c r="H85" s="7"/>
      <c r="I85" s="231"/>
      <c r="J85" s="231"/>
      <c r="K85" s="231"/>
      <c r="L85" s="231"/>
      <c r="Q85" s="189"/>
      <c r="R85" s="189"/>
      <c r="S85" s="189"/>
      <c r="T85" s="189"/>
      <c r="U85" s="189"/>
      <c r="V85" s="189"/>
      <c r="W85" s="189"/>
    </row>
    <row r="86" spans="2:23">
      <c r="B86" s="6" t="s">
        <v>41</v>
      </c>
      <c r="C86" s="6"/>
      <c r="D86" s="230">
        <f>D79/D84</f>
        <v>25.846176355833009</v>
      </c>
      <c r="E86" s="230">
        <f>E79/E84</f>
        <v>21.566061883322156</v>
      </c>
      <c r="F86" s="230">
        <f>F79/F84</f>
        <v>28.162399075710209</v>
      </c>
      <c r="G86" s="230">
        <f>G79/G84</f>
        <v>25.519290296977314</v>
      </c>
      <c r="H86" s="7"/>
      <c r="I86" s="232">
        <f>I79/I84</f>
        <v>-5.6616295314061889</v>
      </c>
      <c r="J86" s="232">
        <f>J79/J84</f>
        <v>-14.876572765583392</v>
      </c>
      <c r="K86" s="232">
        <f>K79/K84</f>
        <v>0</v>
      </c>
      <c r="L86" s="232">
        <f>L79/L84</f>
        <v>0</v>
      </c>
      <c r="Q86" s="191">
        <f>(D86-E86)/E86</f>
        <v>0.19846527825373744</v>
      </c>
      <c r="R86" s="191">
        <f>(E86-F86)/F86</f>
        <v>-0.23422497403913745</v>
      </c>
      <c r="S86" s="191">
        <f>(F86-G86)/G86</f>
        <v>0.10357297354174318</v>
      </c>
      <c r="T86" s="191"/>
      <c r="U86" s="191">
        <f>(I86-J86)/J86</f>
        <v>-0.61942648884128482</v>
      </c>
      <c r="V86" s="191"/>
      <c r="W86" s="191"/>
    </row>
    <row r="87" spans="2:23">
      <c r="B87" s="7" t="s">
        <v>229</v>
      </c>
      <c r="C87" s="7"/>
      <c r="D87" s="229"/>
      <c r="E87" s="229"/>
      <c r="F87" s="229"/>
      <c r="G87" s="229"/>
      <c r="H87" s="7"/>
      <c r="I87" s="231"/>
      <c r="J87" s="231"/>
      <c r="K87" s="231"/>
      <c r="L87" s="231"/>
      <c r="Q87" s="189"/>
      <c r="R87" s="189"/>
      <c r="S87" s="189"/>
      <c r="T87" s="189"/>
      <c r="U87" s="189"/>
      <c r="V87" s="189"/>
      <c r="W87" s="189"/>
    </row>
    <row r="88" spans="2:23">
      <c r="B88" s="6" t="s">
        <v>43</v>
      </c>
      <c r="C88" s="6"/>
      <c r="D88" s="222">
        <f>D81/D78</f>
        <v>29.258666666666667</v>
      </c>
      <c r="E88" s="222">
        <f>E81/E78</f>
        <v>28.124240121580549</v>
      </c>
      <c r="F88" s="222">
        <f>F81/F78</f>
        <v>24.032662362324345</v>
      </c>
      <c r="G88" s="222">
        <f>G81/G78</f>
        <v>22.484310018903592</v>
      </c>
      <c r="H88" s="7"/>
      <c r="I88" s="224">
        <f>I81/I78</f>
        <v>1.5873876648828982</v>
      </c>
      <c r="J88" s="224">
        <f>J81/J78</f>
        <v>2.5181438063610879</v>
      </c>
      <c r="K88" s="224">
        <f>K81/K78</f>
        <v>1.5476140317419487</v>
      </c>
      <c r="L88" s="224">
        <f>L81/L78</f>
        <v>1.6202164768077987</v>
      </c>
      <c r="Q88" s="191">
        <f>(D88-E88)/E88</f>
        <v>4.0336255848407415E-2</v>
      </c>
      <c r="R88" s="191">
        <f>(E88-F88)/F88</f>
        <v>0.17025070704070269</v>
      </c>
      <c r="S88" s="191">
        <f>(F88-G88)/G88</f>
        <v>6.8863680589663717E-2</v>
      </c>
      <c r="T88" s="191"/>
      <c r="U88" s="191">
        <f>(I88-J88)/J88</f>
        <v>-0.36961993160478163</v>
      </c>
      <c r="V88" s="191">
        <f>(J88-K88)/K88</f>
        <v>0.62711357916982668</v>
      </c>
      <c r="W88" s="191">
        <f>(K88-L88)/L88</f>
        <v>-4.4810336214388846E-2</v>
      </c>
    </row>
    <row r="89" spans="2:23">
      <c r="B89" s="7" t="s">
        <v>230</v>
      </c>
      <c r="C89" s="7"/>
      <c r="D89" s="229"/>
      <c r="E89" s="229"/>
      <c r="F89" s="229"/>
      <c r="G89" s="229"/>
      <c r="H89" s="7"/>
      <c r="I89" s="231"/>
      <c r="J89" s="231"/>
      <c r="K89" s="231"/>
      <c r="L89" s="231"/>
      <c r="Q89" s="189"/>
      <c r="R89" s="189"/>
      <c r="S89" s="189"/>
      <c r="T89" s="189"/>
      <c r="U89" s="189"/>
      <c r="V89" s="189"/>
      <c r="W89" s="189"/>
    </row>
    <row r="90" spans="2:23">
      <c r="B90" s="6" t="s">
        <v>61</v>
      </c>
      <c r="C90" s="6"/>
      <c r="D90" s="226">
        <f>D80/D79</f>
        <v>2.5191055759977356E-2</v>
      </c>
      <c r="E90" s="226">
        <f>E80/E79</f>
        <v>2.4492897644239203E-2</v>
      </c>
      <c r="F90" s="230">
        <f>F80/F79</f>
        <v>2.5289109162536537E-2</v>
      </c>
      <c r="G90" s="230">
        <f>G80/G79</f>
        <v>2.5707822033317337E-2</v>
      </c>
      <c r="H90" s="7"/>
      <c r="I90" s="233">
        <f>I80/I79</f>
        <v>0</v>
      </c>
      <c r="J90" s="233">
        <f>J80/J79</f>
        <v>0</v>
      </c>
      <c r="K90" s="233" t="e">
        <f>K80/K79</f>
        <v>#DIV/0!</v>
      </c>
      <c r="L90" s="233" t="e">
        <f>L80/L79</f>
        <v>#DIV/0!</v>
      </c>
      <c r="Q90" s="191">
        <f>(D90-E90)/E90</f>
        <v>2.850451285425435E-2</v>
      </c>
      <c r="R90" s="191">
        <f>(E90-F90)/F90</f>
        <v>-3.1484364007445823E-2</v>
      </c>
      <c r="S90" s="191">
        <f>(F90-G90)/G90</f>
        <v>-1.6287372389545404E-2</v>
      </c>
      <c r="T90" s="191"/>
      <c r="U90" s="191"/>
      <c r="V90" s="191"/>
      <c r="W90" s="191"/>
    </row>
    <row r="91" spans="2:23">
      <c r="B91" s="7" t="s">
        <v>231</v>
      </c>
      <c r="C91" s="7"/>
      <c r="D91" s="7"/>
      <c r="E91" s="12"/>
      <c r="F91" s="12"/>
      <c r="G91" s="12"/>
      <c r="H91" s="7"/>
      <c r="I91" s="7"/>
      <c r="J91" s="7"/>
      <c r="K91" s="7"/>
      <c r="L91" s="7"/>
      <c r="Q91" s="42"/>
      <c r="R91" s="42"/>
      <c r="S91" s="42"/>
      <c r="T91" s="42"/>
      <c r="U91" s="42"/>
      <c r="V91" s="42"/>
      <c r="W91" s="42"/>
    </row>
  </sheetData>
  <mergeCells count="6">
    <mergeCell ref="Q2:W2"/>
    <mergeCell ref="B2:L2"/>
    <mergeCell ref="D5:G5"/>
    <mergeCell ref="I5:L5"/>
    <mergeCell ref="Q5:S5"/>
    <mergeCell ref="U5:W5"/>
  </mergeCells>
  <pageMargins left="0.7" right="0.7" top="0.75" bottom="0.75" header="0.3" footer="0.3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47E7-BF2F-43CC-A10F-6A55859C2465}">
  <dimension ref="B3:BP61"/>
  <sheetViews>
    <sheetView topLeftCell="AA1" zoomScale="60" zoomScaleNormal="60" workbookViewId="0">
      <selection activeCell="AA46" sqref="AA46"/>
    </sheetView>
  </sheetViews>
  <sheetFormatPr baseColWidth="10" defaultColWidth="11.5" defaultRowHeight="15"/>
  <cols>
    <col min="2" max="2" width="30.83203125" customWidth="1"/>
    <col min="4" max="4" width="10.6640625" bestFit="1" customWidth="1"/>
    <col min="8" max="8" width="7.5" bestFit="1" customWidth="1"/>
    <col min="13" max="13" width="32.1640625" customWidth="1"/>
    <col min="25" max="25" width="42.5" customWidth="1"/>
    <col min="26" max="30" width="11.5" customWidth="1"/>
    <col min="34" max="35" width="11.5" customWidth="1"/>
    <col min="36" max="36" width="21.5" customWidth="1"/>
    <col min="37" max="41" width="11.5" customWidth="1"/>
    <col min="48" max="48" width="19.5" customWidth="1"/>
    <col min="59" max="59" width="28.33203125" customWidth="1"/>
  </cols>
  <sheetData>
    <row r="3" spans="2:68">
      <c r="B3" s="369" t="s">
        <v>232</v>
      </c>
      <c r="C3" s="369"/>
      <c r="D3" s="369"/>
      <c r="E3" s="369"/>
      <c r="F3" s="369"/>
      <c r="H3" s="370" t="s">
        <v>1</v>
      </c>
      <c r="I3" s="370"/>
      <c r="J3" s="370"/>
      <c r="K3" s="306"/>
      <c r="M3" s="369" t="s">
        <v>232</v>
      </c>
      <c r="N3" s="369"/>
      <c r="O3" s="369"/>
      <c r="P3" s="369"/>
      <c r="Q3" s="369"/>
      <c r="S3" s="370" t="s">
        <v>1</v>
      </c>
      <c r="T3" s="370"/>
      <c r="U3" s="370"/>
      <c r="V3" s="306"/>
      <c r="Y3" s="369" t="s">
        <v>233</v>
      </c>
      <c r="Z3" s="369"/>
      <c r="AA3" s="369"/>
      <c r="AB3" s="369"/>
      <c r="AC3" s="369"/>
      <c r="AE3" s="370" t="s">
        <v>1</v>
      </c>
      <c r="AF3" s="370"/>
      <c r="AG3" s="370"/>
      <c r="AH3" s="306"/>
      <c r="AJ3" s="369" t="s">
        <v>233</v>
      </c>
      <c r="AK3" s="369"/>
      <c r="AL3" s="369"/>
      <c r="AM3" s="369"/>
      <c r="AN3" s="369"/>
      <c r="AP3" s="370" t="s">
        <v>1</v>
      </c>
      <c r="AQ3" s="370"/>
      <c r="AR3" s="370"/>
      <c r="AS3" s="307"/>
      <c r="AV3" s="369" t="s">
        <v>234</v>
      </c>
      <c r="AW3" s="369"/>
      <c r="AX3" s="369"/>
      <c r="AY3" s="369"/>
      <c r="AZ3" s="369"/>
      <c r="BB3" s="370" t="s">
        <v>1</v>
      </c>
      <c r="BC3" s="370"/>
      <c r="BD3" s="370"/>
      <c r="BE3" s="306"/>
      <c r="BG3" s="369" t="s">
        <v>234</v>
      </c>
      <c r="BH3" s="369"/>
      <c r="BI3" s="369"/>
      <c r="BJ3" s="369"/>
      <c r="BK3" s="369"/>
      <c r="BM3" s="370" t="s">
        <v>1</v>
      </c>
      <c r="BN3" s="370"/>
      <c r="BO3" s="370"/>
      <c r="BP3" s="306"/>
    </row>
    <row r="5" spans="2:68">
      <c r="C5" s="367" t="s">
        <v>5</v>
      </c>
      <c r="D5" s="367"/>
      <c r="E5" s="367"/>
      <c r="F5" s="367"/>
      <c r="H5" s="367" t="s">
        <v>5</v>
      </c>
      <c r="I5" s="367"/>
      <c r="J5" s="367"/>
      <c r="N5" s="368" t="s">
        <v>165</v>
      </c>
      <c r="O5" s="368"/>
      <c r="P5" s="368"/>
      <c r="Q5" s="368"/>
      <c r="S5" s="368" t="s">
        <v>165</v>
      </c>
      <c r="T5" s="368"/>
      <c r="U5" s="368"/>
      <c r="Z5" s="367" t="s">
        <v>5</v>
      </c>
      <c r="AA5" s="367"/>
      <c r="AB5" s="367"/>
      <c r="AC5" s="367"/>
      <c r="AE5" s="367" t="s">
        <v>5</v>
      </c>
      <c r="AF5" s="367"/>
      <c r="AG5" s="367"/>
      <c r="AK5" s="368" t="s">
        <v>165</v>
      </c>
      <c r="AL5" s="368"/>
      <c r="AM5" s="368"/>
      <c r="AN5" s="368"/>
      <c r="AP5" s="368" t="s">
        <v>165</v>
      </c>
      <c r="AQ5" s="368"/>
      <c r="AR5" s="368"/>
      <c r="AW5" s="367" t="s">
        <v>5</v>
      </c>
      <c r="AX5" s="367"/>
      <c r="AY5" s="367"/>
      <c r="AZ5" s="367"/>
      <c r="BB5" s="367" t="s">
        <v>5</v>
      </c>
      <c r="BC5" s="367"/>
      <c r="BD5" s="367"/>
      <c r="BH5" s="368" t="s">
        <v>165</v>
      </c>
      <c r="BI5" s="368"/>
      <c r="BJ5" s="368"/>
      <c r="BK5" s="368"/>
      <c r="BM5" s="368" t="s">
        <v>165</v>
      </c>
      <c r="BN5" s="368"/>
      <c r="BO5" s="368"/>
    </row>
    <row r="6" spans="2:68" ht="16" thickBot="1">
      <c r="C6" s="2">
        <v>2022</v>
      </c>
      <c r="D6" s="2">
        <v>2021</v>
      </c>
      <c r="E6" s="2">
        <v>2020</v>
      </c>
      <c r="F6" s="2">
        <v>2019</v>
      </c>
      <c r="H6" s="2">
        <v>2022</v>
      </c>
      <c r="I6" s="2">
        <v>2021</v>
      </c>
      <c r="J6" s="2">
        <v>2020</v>
      </c>
      <c r="N6" s="2">
        <v>2022</v>
      </c>
      <c r="O6" s="2">
        <v>2021</v>
      </c>
      <c r="P6" s="2">
        <v>2020</v>
      </c>
      <c r="Q6" s="2">
        <v>2019</v>
      </c>
      <c r="S6" s="2">
        <v>2022</v>
      </c>
      <c r="T6" s="2">
        <v>2021</v>
      </c>
      <c r="U6" s="2">
        <v>2020</v>
      </c>
      <c r="Z6" s="2">
        <v>2022</v>
      </c>
      <c r="AA6" s="2">
        <v>2021</v>
      </c>
      <c r="AB6" s="2">
        <v>2020</v>
      </c>
      <c r="AC6" s="2">
        <v>2019</v>
      </c>
      <c r="AE6" s="2">
        <v>2022</v>
      </c>
      <c r="AF6" s="2">
        <v>2021</v>
      </c>
      <c r="AG6" s="2">
        <v>2020</v>
      </c>
      <c r="AK6" s="2">
        <v>2022</v>
      </c>
      <c r="AL6" s="2">
        <v>2021</v>
      </c>
      <c r="AM6" s="2">
        <v>2020</v>
      </c>
      <c r="AN6" s="2">
        <v>2019</v>
      </c>
      <c r="AP6" s="2">
        <v>2022</v>
      </c>
      <c r="AQ6" s="2">
        <v>2021</v>
      </c>
      <c r="AR6" s="2">
        <v>2020</v>
      </c>
      <c r="AW6" s="2">
        <v>2022</v>
      </c>
      <c r="AX6" s="2">
        <v>2021</v>
      </c>
      <c r="AY6" s="2">
        <v>2020</v>
      </c>
      <c r="AZ6" s="2">
        <v>2019</v>
      </c>
      <c r="BB6" s="2">
        <v>2022</v>
      </c>
      <c r="BC6" s="2">
        <v>2021</v>
      </c>
      <c r="BD6" s="2">
        <v>2020</v>
      </c>
      <c r="BH6" s="2">
        <v>2022</v>
      </c>
      <c r="BI6" s="2">
        <v>2021</v>
      </c>
      <c r="BJ6" s="2">
        <v>2020</v>
      </c>
      <c r="BK6" s="2">
        <v>2019</v>
      </c>
      <c r="BM6" s="2">
        <v>2022</v>
      </c>
      <c r="BN6" s="2">
        <v>2021</v>
      </c>
      <c r="BO6" s="2">
        <v>2020</v>
      </c>
    </row>
    <row r="7" spans="2:68" ht="17" thickBot="1">
      <c r="B7" s="200" t="s">
        <v>235</v>
      </c>
      <c r="M7" s="1" t="s">
        <v>235</v>
      </c>
      <c r="Y7" s="172" t="s">
        <v>236</v>
      </c>
      <c r="Z7" s="210">
        <v>94943</v>
      </c>
      <c r="AA7" s="210">
        <v>93775</v>
      </c>
      <c r="AB7" s="210">
        <v>82584</v>
      </c>
      <c r="AC7" s="210">
        <v>82059</v>
      </c>
      <c r="AE7" s="270">
        <f>(Z7-AA7)/AA7</f>
        <v>1.2455345241268996E-2</v>
      </c>
      <c r="AF7" s="271">
        <f t="shared" ref="AF7:AF17" si="0">(AA7-AB7)/AB7</f>
        <v>0.13551051051051052</v>
      </c>
      <c r="AG7" s="272">
        <f t="shared" ref="AG7:AG17" si="1">(AB7-AC7)/AC7</f>
        <v>6.3978357035791317E-3</v>
      </c>
      <c r="AJ7" s="172" t="s">
        <v>236</v>
      </c>
      <c r="AK7" s="176">
        <v>313651</v>
      </c>
      <c r="AL7" s="176">
        <v>318639</v>
      </c>
      <c r="AM7" s="176">
        <v>300522</v>
      </c>
      <c r="AN7" s="176">
        <v>235587</v>
      </c>
      <c r="AP7" s="270">
        <f>(AK7-AL7)/AL7</f>
        <v>-1.5654078753699327E-2</v>
      </c>
      <c r="AQ7" s="271">
        <f t="shared" ref="AP7:AR14" si="2">(AL7-AM7)/AM7</f>
        <v>6.0285103919180627E-2</v>
      </c>
      <c r="AR7" s="272">
        <f t="shared" si="2"/>
        <v>0.27563065873753645</v>
      </c>
      <c r="AV7" s="200" t="s">
        <v>237</v>
      </c>
      <c r="BB7" s="42"/>
      <c r="BC7" s="42"/>
      <c r="BD7" s="42"/>
      <c r="BG7" s="200" t="s">
        <v>237</v>
      </c>
    </row>
    <row r="8" spans="2:68" ht="16">
      <c r="B8" s="200" t="s">
        <v>238</v>
      </c>
      <c r="M8" s="1" t="s">
        <v>238</v>
      </c>
      <c r="Y8" s="196" t="s">
        <v>239</v>
      </c>
      <c r="Z8">
        <v>-31089</v>
      </c>
      <c r="AA8">
        <v>-29855</v>
      </c>
      <c r="AB8">
        <v>-28427</v>
      </c>
      <c r="AC8">
        <v>-27556</v>
      </c>
      <c r="AE8" s="42">
        <f t="shared" ref="AE7:AE17" si="3">(Z8-AA8)/AA8</f>
        <v>4.1333110031820462E-2</v>
      </c>
      <c r="AF8" s="42">
        <f t="shared" si="0"/>
        <v>5.023393252893376E-2</v>
      </c>
      <c r="AG8" s="42">
        <f t="shared" si="1"/>
        <v>3.1608361155465232E-2</v>
      </c>
      <c r="AJ8" s="196" t="s">
        <v>239</v>
      </c>
      <c r="AK8" s="194">
        <v>-221336</v>
      </c>
      <c r="AL8" s="10">
        <v>-209467</v>
      </c>
      <c r="AM8" s="10">
        <v>-192626</v>
      </c>
      <c r="AN8" s="10">
        <v>-159733</v>
      </c>
      <c r="AP8" s="42">
        <f t="shared" si="2"/>
        <v>5.6662863362725392E-2</v>
      </c>
      <c r="AQ8" s="42">
        <f t="shared" si="2"/>
        <v>8.7428488366056503E-2</v>
      </c>
      <c r="AR8" s="42">
        <f t="shared" si="2"/>
        <v>0.20592488715544063</v>
      </c>
      <c r="AV8" s="200" t="s">
        <v>240</v>
      </c>
      <c r="AW8" s="216">
        <v>17941</v>
      </c>
      <c r="AX8" s="216">
        <v>20878</v>
      </c>
      <c r="AY8" s="216">
        <v>14714</v>
      </c>
      <c r="AZ8" s="216">
        <v>15119</v>
      </c>
      <c r="BB8" s="42">
        <f>(AW8-AX8)/AX8</f>
        <v>-0.14067439409905164</v>
      </c>
      <c r="BC8" s="42">
        <f>(AX8-AY8)/AY8</f>
        <v>0.41892075574282994</v>
      </c>
      <c r="BD8" s="42">
        <f>(AY8-AZ8)/AZ8</f>
        <v>-2.6787485944837621E-2</v>
      </c>
      <c r="BG8" s="200" t="s">
        <v>241</v>
      </c>
      <c r="BH8" s="216">
        <v>-49019</v>
      </c>
      <c r="BI8" s="216">
        <v>-38679</v>
      </c>
      <c r="BJ8" s="216">
        <v>-14466</v>
      </c>
      <c r="BK8" s="216">
        <v>-31083</v>
      </c>
      <c r="BM8" s="42">
        <f>(BH8-BI8)/BI8</f>
        <v>0.26732852452235062</v>
      </c>
      <c r="BN8" s="42">
        <f>(BI8-BJ8)/BJ8</f>
        <v>1.6737868104520945</v>
      </c>
      <c r="BO8" s="42">
        <f>(BJ8-BK8)/BK8</f>
        <v>-0.53460090724833509</v>
      </c>
    </row>
    <row r="9" spans="2:68" ht="16">
      <c r="B9" s="163" t="s">
        <v>242</v>
      </c>
      <c r="C9" s="164">
        <v>14127</v>
      </c>
      <c r="D9" s="37">
        <v>14487</v>
      </c>
      <c r="E9">
        <v>13985</v>
      </c>
      <c r="F9">
        <v>17305</v>
      </c>
      <c r="H9" s="42">
        <f t="shared" ref="H9:J13" si="4">(C9-D9)/D9</f>
        <v>-2.4849865396562434E-2</v>
      </c>
      <c r="I9" s="42">
        <f t="shared" si="4"/>
        <v>3.589560243117626E-2</v>
      </c>
      <c r="J9" s="42">
        <f t="shared" si="4"/>
        <v>-0.1918520658769142</v>
      </c>
      <c r="M9" s="163" t="s">
        <v>242</v>
      </c>
      <c r="N9" s="194">
        <v>9517</v>
      </c>
      <c r="O9" s="194">
        <v>50791</v>
      </c>
      <c r="P9" s="194">
        <v>29259</v>
      </c>
      <c r="Q9" s="194">
        <v>13543</v>
      </c>
      <c r="S9" s="42">
        <f>(N9-O9)/O9</f>
        <v>-0.81262428382981233</v>
      </c>
      <c r="T9" s="42">
        <f>(O9-P9)/P9</f>
        <v>0.73591031819269281</v>
      </c>
      <c r="U9" s="42">
        <f>(P9-Q9)/Q9</f>
        <v>1.1604518939673631</v>
      </c>
      <c r="Y9" s="197" t="s">
        <v>179</v>
      </c>
      <c r="Z9" s="214">
        <f>Z7+Z8</f>
        <v>63854</v>
      </c>
      <c r="AA9" s="214">
        <f>AA7+AA8</f>
        <v>63920</v>
      </c>
      <c r="AB9" s="214">
        <f>AB7+AB8</f>
        <v>54157</v>
      </c>
      <c r="AC9" s="214">
        <f>AC7+AC8</f>
        <v>54503</v>
      </c>
      <c r="AE9" s="274">
        <f t="shared" si="3"/>
        <v>-1.0325406758448061E-3</v>
      </c>
      <c r="AF9" s="274">
        <f t="shared" si="0"/>
        <v>0.18027217164909429</v>
      </c>
      <c r="AG9" s="274">
        <f t="shared" si="1"/>
        <v>-6.3482744069133807E-3</v>
      </c>
      <c r="AJ9" s="197" t="s">
        <v>179</v>
      </c>
      <c r="AK9" s="186">
        <f>AK7+AK8</f>
        <v>92315</v>
      </c>
      <c r="AL9" s="186">
        <f>AL7+AL8</f>
        <v>109172</v>
      </c>
      <c r="AM9" s="186">
        <f>AM7+AM8</f>
        <v>107896</v>
      </c>
      <c r="AN9" s="186">
        <f>AN7+AN8</f>
        <v>75854</v>
      </c>
      <c r="AP9" s="274">
        <f t="shared" si="2"/>
        <v>-0.15440772359212984</v>
      </c>
      <c r="AQ9" s="274">
        <f t="shared" si="2"/>
        <v>1.1826203010306222E-2</v>
      </c>
      <c r="AR9" s="274">
        <f t="shared" si="2"/>
        <v>0.42241674796319245</v>
      </c>
      <c r="AV9" s="196" t="s">
        <v>243</v>
      </c>
      <c r="BB9" s="42"/>
      <c r="BC9" s="42"/>
      <c r="BD9" s="42"/>
      <c r="BG9" s="196" t="s">
        <v>244</v>
      </c>
      <c r="BM9" s="42"/>
      <c r="BN9" s="42"/>
      <c r="BO9" s="42"/>
    </row>
    <row r="10" spans="2:68" ht="16">
      <c r="B10" s="163" t="s">
        <v>245</v>
      </c>
      <c r="C10" s="164">
        <v>9392</v>
      </c>
      <c r="D10">
        <v>17121</v>
      </c>
      <c r="E10">
        <v>11200</v>
      </c>
      <c r="F10">
        <v>1982</v>
      </c>
      <c r="H10" s="42">
        <f t="shared" si="4"/>
        <v>-0.45143391157058582</v>
      </c>
      <c r="I10" s="42">
        <f t="shared" si="4"/>
        <v>0.52866071428571426</v>
      </c>
      <c r="J10" s="42">
        <f t="shared" si="4"/>
        <v>4.6508577194752778</v>
      </c>
      <c r="M10" s="163" t="s">
        <v>246</v>
      </c>
      <c r="N10" s="10"/>
      <c r="O10" s="194"/>
      <c r="P10" s="194">
        <v>1752</v>
      </c>
      <c r="Q10" s="195" t="s">
        <v>49</v>
      </c>
      <c r="S10" s="42"/>
      <c r="T10" s="42">
        <f t="shared" ref="T10:T15" si="5">(O10-P10)/P10</f>
        <v>-1</v>
      </c>
      <c r="U10" s="42"/>
      <c r="Y10" s="196" t="s">
        <v>247</v>
      </c>
      <c r="Z10">
        <v>-24765</v>
      </c>
      <c r="AA10">
        <v>-24659</v>
      </c>
      <c r="AB10">
        <v>-22084</v>
      </c>
      <c r="AC10">
        <v>-22178</v>
      </c>
      <c r="AE10" s="42">
        <f t="shared" si="3"/>
        <v>4.298633359016992E-3</v>
      </c>
      <c r="AF10" s="42">
        <f t="shared" si="0"/>
        <v>0.1166002535772505</v>
      </c>
      <c r="AG10" s="42">
        <f t="shared" si="1"/>
        <v>-4.2384344846244024E-3</v>
      </c>
      <c r="AJ10" s="196" t="s">
        <v>247</v>
      </c>
      <c r="AK10" s="10">
        <v>-135099</v>
      </c>
      <c r="AL10" s="10">
        <v>-138319</v>
      </c>
      <c r="AM10" s="10">
        <v>-115731</v>
      </c>
      <c r="AN10" s="10">
        <v>-102174</v>
      </c>
      <c r="AP10" s="42">
        <f t="shared" si="2"/>
        <v>-2.3279520528633087E-2</v>
      </c>
      <c r="AQ10" s="42">
        <f t="shared" si="2"/>
        <v>0.19517674607494967</v>
      </c>
      <c r="AR10" s="42">
        <f t="shared" si="2"/>
        <v>0.13268541899113279</v>
      </c>
      <c r="AV10" s="196" t="s">
        <v>248</v>
      </c>
      <c r="AW10" s="194">
        <v>6970</v>
      </c>
      <c r="AX10" s="194">
        <v>7390</v>
      </c>
      <c r="AY10" s="194">
        <v>7231</v>
      </c>
      <c r="AZ10" s="194">
        <v>7009</v>
      </c>
      <c r="BB10" s="42">
        <f t="shared" ref="BB10:BD12" si="6">(AW10-AX10)/AX10</f>
        <v>-5.6833558863328824E-2</v>
      </c>
      <c r="BC10" s="42">
        <f t="shared" si="6"/>
        <v>2.1988659936385008E-2</v>
      </c>
      <c r="BD10" s="42">
        <f t="shared" si="6"/>
        <v>3.1673562562419745E-2</v>
      </c>
      <c r="BG10" s="196" t="s">
        <v>249</v>
      </c>
      <c r="BH10" s="194">
        <v>2753</v>
      </c>
      <c r="BI10" s="194">
        <v>4146</v>
      </c>
      <c r="BJ10" s="194">
        <v>4854</v>
      </c>
      <c r="BK10" s="194">
        <v>7672</v>
      </c>
      <c r="BM10" s="42">
        <f t="shared" ref="BM10:BO12" si="7">(BH10-BI10)/BI10</f>
        <v>-0.33598649300530631</v>
      </c>
      <c r="BN10" s="42">
        <f t="shared" si="7"/>
        <v>-0.14585908529048208</v>
      </c>
      <c r="BO10" s="42">
        <f t="shared" si="7"/>
        <v>-0.36730969760166843</v>
      </c>
    </row>
    <row r="11" spans="2:68" ht="16">
      <c r="B11" s="163" t="s">
        <v>250</v>
      </c>
      <c r="C11" s="164">
        <v>16160</v>
      </c>
      <c r="D11" s="10">
        <v>15283</v>
      </c>
      <c r="E11">
        <v>13576</v>
      </c>
      <c r="F11">
        <v>14481</v>
      </c>
      <c r="H11" s="42">
        <f t="shared" si="4"/>
        <v>5.7384021461754892E-2</v>
      </c>
      <c r="I11" s="42">
        <f t="shared" si="4"/>
        <v>0.12573659398939305</v>
      </c>
      <c r="J11" s="42">
        <f t="shared" si="4"/>
        <v>-6.2495683999723779E-2</v>
      </c>
      <c r="M11" s="163" t="s">
        <v>251</v>
      </c>
      <c r="N11" s="194">
        <v>5650</v>
      </c>
      <c r="O11" s="194">
        <v>42388</v>
      </c>
      <c r="P11" s="194">
        <v>34425</v>
      </c>
      <c r="Q11" s="194">
        <v>71479</v>
      </c>
      <c r="S11" s="42">
        <f>(N11-O11)/O11</f>
        <v>-0.86670755874304051</v>
      </c>
      <c r="T11" s="42">
        <f t="shared" si="5"/>
        <v>0.23131445170660858</v>
      </c>
      <c r="U11" s="42">
        <f>(P11-Q11)/Q11</f>
        <v>-0.51839001664824635</v>
      </c>
      <c r="Y11" s="196" t="s">
        <v>252</v>
      </c>
      <c r="Z11">
        <v>-15386</v>
      </c>
      <c r="AA11">
        <v>-14714</v>
      </c>
      <c r="AB11">
        <v>-12159</v>
      </c>
      <c r="AC11">
        <v>-11355</v>
      </c>
      <c r="AE11" s="42">
        <f t="shared" si="3"/>
        <v>4.5670789724072312E-2</v>
      </c>
      <c r="AF11" s="42">
        <f t="shared" si="0"/>
        <v>0.21013241220495107</v>
      </c>
      <c r="AG11" s="42">
        <f t="shared" si="1"/>
        <v>7.0805812417437247E-2</v>
      </c>
      <c r="AJ11" s="196" t="s">
        <v>252</v>
      </c>
      <c r="AK11" s="10">
        <v>-6996</v>
      </c>
      <c r="AL11" s="10">
        <v>-7679</v>
      </c>
      <c r="AM11" s="10">
        <v>-5705</v>
      </c>
      <c r="AN11" s="10">
        <v>-5137</v>
      </c>
      <c r="AP11" s="42">
        <f t="shared" si="2"/>
        <v>-8.8943872900117196E-2</v>
      </c>
      <c r="AQ11" s="42">
        <f t="shared" si="2"/>
        <v>0.34601226993865031</v>
      </c>
      <c r="AR11" s="42">
        <f t="shared" si="2"/>
        <v>0.11057037181234183</v>
      </c>
      <c r="AV11" s="196" t="s">
        <v>253</v>
      </c>
      <c r="AW11" s="194">
        <v>1138</v>
      </c>
      <c r="AX11" s="194">
        <v>1135</v>
      </c>
      <c r="AY11" s="194">
        <v>1005</v>
      </c>
      <c r="AZ11" s="194">
        <v>977</v>
      </c>
      <c r="BB11" s="42">
        <f t="shared" si="6"/>
        <v>2.6431718061674008E-3</v>
      </c>
      <c r="BC11" s="42">
        <f t="shared" si="6"/>
        <v>0.12935323383084577</v>
      </c>
      <c r="BD11" s="42">
        <f t="shared" si="6"/>
        <v>2.8659160696008188E-2</v>
      </c>
      <c r="BG11" s="196" t="s">
        <v>254</v>
      </c>
      <c r="BH11" s="194">
        <v>15078</v>
      </c>
      <c r="BI11" s="194">
        <v>16847</v>
      </c>
      <c r="BJ11" s="194">
        <v>7905</v>
      </c>
      <c r="BK11" s="194">
        <v>8380</v>
      </c>
      <c r="BM11" s="42">
        <f t="shared" si="7"/>
        <v>-0.10500385825369501</v>
      </c>
      <c r="BN11" s="42">
        <f t="shared" si="7"/>
        <v>1.1311827956989247</v>
      </c>
      <c r="BO11" s="42">
        <f t="shared" si="7"/>
        <v>-5.6682577565632455E-2</v>
      </c>
    </row>
    <row r="12" spans="2:68" ht="16">
      <c r="B12" s="163" t="s">
        <v>169</v>
      </c>
      <c r="C12" s="164">
        <v>12483</v>
      </c>
      <c r="D12">
        <v>10387</v>
      </c>
      <c r="E12">
        <v>9344</v>
      </c>
      <c r="F12">
        <v>9020</v>
      </c>
      <c r="H12" s="42">
        <f t="shared" si="4"/>
        <v>0.20179069991335322</v>
      </c>
      <c r="I12" s="42">
        <f t="shared" si="4"/>
        <v>0.11162243150684932</v>
      </c>
      <c r="J12" s="42">
        <f t="shared" si="4"/>
        <v>3.5920177383592017E-2</v>
      </c>
      <c r="M12" s="163" t="s">
        <v>255</v>
      </c>
      <c r="N12" s="194">
        <v>42334</v>
      </c>
      <c r="O12" s="194">
        <v>31784</v>
      </c>
      <c r="P12" s="194">
        <v>22795</v>
      </c>
      <c r="Q12" s="194">
        <v>24256</v>
      </c>
      <c r="S12" s="42">
        <f>(N12-O12)/O12</f>
        <v>0.33192801409514222</v>
      </c>
      <c r="T12" s="42">
        <f t="shared" si="5"/>
        <v>0.39434086422461068</v>
      </c>
      <c r="U12" s="42">
        <f>(P12-Q12)/Q12</f>
        <v>-6.0232519788918207E-2</v>
      </c>
      <c r="Y12" s="197" t="s">
        <v>256</v>
      </c>
      <c r="Z12" s="214">
        <f>Z10+Z11</f>
        <v>-40151</v>
      </c>
      <c r="AA12" s="214">
        <f>AA10+AA11</f>
        <v>-39373</v>
      </c>
      <c r="AB12" s="214">
        <f>AB10+AB11</f>
        <v>-34243</v>
      </c>
      <c r="AC12" s="214">
        <f>AC10+AC11</f>
        <v>-33533</v>
      </c>
      <c r="AE12" s="274">
        <f t="shared" si="3"/>
        <v>1.9759733827749981E-2</v>
      </c>
      <c r="AF12" s="274">
        <f t="shared" si="0"/>
        <v>0.14981164033525099</v>
      </c>
      <c r="AG12" s="274">
        <f t="shared" si="1"/>
        <v>2.1173172695553633E-2</v>
      </c>
      <c r="AJ12" s="197" t="s">
        <v>256</v>
      </c>
      <c r="AK12" s="186">
        <f>AK10+AK11</f>
        <v>-142095</v>
      </c>
      <c r="AL12" s="186">
        <f>AL10+AL11</f>
        <v>-145998</v>
      </c>
      <c r="AM12" s="186">
        <f>AM10+AM11</f>
        <v>-121436</v>
      </c>
      <c r="AN12" s="186">
        <f>AN10+AN11</f>
        <v>-107311</v>
      </c>
      <c r="AP12" s="274">
        <f t="shared" si="2"/>
        <v>-2.6733242921135904E-2</v>
      </c>
      <c r="AQ12" s="274">
        <f t="shared" si="2"/>
        <v>0.20226292038604698</v>
      </c>
      <c r="AR12" s="274">
        <f t="shared" si="2"/>
        <v>0.13162676706022683</v>
      </c>
      <c r="AV12" s="196" t="s">
        <v>257</v>
      </c>
      <c r="AW12" s="194">
        <v>1216</v>
      </c>
      <c r="AX12" s="194">
        <v>989</v>
      </c>
      <c r="AY12" s="194">
        <v>233</v>
      </c>
      <c r="AZ12" s="194">
        <v>1096</v>
      </c>
      <c r="BB12" s="42">
        <f t="shared" si="6"/>
        <v>0.22952477249747219</v>
      </c>
      <c r="BC12" s="42">
        <f t="shared" si="6"/>
        <v>3.244635193133047</v>
      </c>
      <c r="BD12" s="42">
        <f t="shared" si="6"/>
        <v>-0.78740875912408759</v>
      </c>
      <c r="BG12" s="196" t="s">
        <v>258</v>
      </c>
      <c r="BH12" s="194">
        <v>6345</v>
      </c>
      <c r="BI12" s="194">
        <v>311</v>
      </c>
      <c r="BJ12" s="194">
        <v>166</v>
      </c>
      <c r="BK12" s="194">
        <v>-156</v>
      </c>
      <c r="BM12" s="42">
        <f t="shared" si="7"/>
        <v>19.40192926045016</v>
      </c>
      <c r="BN12" s="42">
        <f t="shared" si="7"/>
        <v>0.87349397590361444</v>
      </c>
      <c r="BO12" s="42">
        <f t="shared" si="7"/>
        <v>-2.0641025641025643</v>
      </c>
    </row>
    <row r="13" spans="2:68" ht="16">
      <c r="B13" s="163" t="s">
        <v>259</v>
      </c>
      <c r="C13" s="164">
        <v>3132</v>
      </c>
      <c r="D13">
        <v>3701</v>
      </c>
      <c r="E13">
        <v>3132</v>
      </c>
      <c r="F13">
        <v>2392</v>
      </c>
      <c r="H13" s="42">
        <f t="shared" si="4"/>
        <v>-0.15374223182923535</v>
      </c>
      <c r="I13" s="42">
        <f t="shared" si="4"/>
        <v>0.18167305236270753</v>
      </c>
      <c r="J13" s="42">
        <f t="shared" si="4"/>
        <v>0.30936454849498329</v>
      </c>
      <c r="M13" s="163" t="s">
        <v>169</v>
      </c>
      <c r="N13" s="194">
        <v>115664</v>
      </c>
      <c r="O13" s="194">
        <v>75668</v>
      </c>
      <c r="P13" s="194">
        <v>76669</v>
      </c>
      <c r="Q13" s="194">
        <v>52541</v>
      </c>
      <c r="S13" s="42">
        <f>(N13-O13)/O13</f>
        <v>0.52857218375006609</v>
      </c>
      <c r="T13" s="42">
        <f t="shared" si="5"/>
        <v>-1.3056124378823253E-2</v>
      </c>
      <c r="U13" s="42">
        <f>(P13-Q13)/Q13</f>
        <v>0.45922232161550025</v>
      </c>
      <c r="Y13" s="197" t="s">
        <v>180</v>
      </c>
      <c r="Z13" s="214">
        <f>Z9+Z12</f>
        <v>23703</v>
      </c>
      <c r="AA13" s="214">
        <f>AA9+AA12</f>
        <v>24547</v>
      </c>
      <c r="AB13" s="214">
        <f>AB9+AB12</f>
        <v>19914</v>
      </c>
      <c r="AC13" s="214">
        <f>AC9+AC12</f>
        <v>20970</v>
      </c>
      <c r="AE13" s="274">
        <f t="shared" si="3"/>
        <v>-3.4383020328349695E-2</v>
      </c>
      <c r="AF13" s="274">
        <f t="shared" si="0"/>
        <v>0.23265039670583509</v>
      </c>
      <c r="AG13" s="274">
        <f t="shared" si="1"/>
        <v>-5.0357653791130184E-2</v>
      </c>
      <c r="AJ13" s="198" t="s">
        <v>180</v>
      </c>
      <c r="AK13" s="187">
        <f>AK9+AK12</f>
        <v>-49780</v>
      </c>
      <c r="AL13" s="187">
        <f>AL9+AL12</f>
        <v>-36826</v>
      </c>
      <c r="AM13" s="187">
        <f>AM9+AM12</f>
        <v>-13540</v>
      </c>
      <c r="AN13" s="187">
        <f>AN9+AN12</f>
        <v>-31457</v>
      </c>
      <c r="AP13" s="276">
        <f t="shared" si="2"/>
        <v>0.35176234182371152</v>
      </c>
      <c r="AQ13" s="276">
        <f t="shared" si="2"/>
        <v>1.7197932053175775</v>
      </c>
      <c r="AR13" s="276">
        <f t="shared" si="2"/>
        <v>-0.56957116063197377</v>
      </c>
      <c r="AV13" s="196" t="s">
        <v>260</v>
      </c>
      <c r="AW13" s="195" t="s">
        <v>49</v>
      </c>
      <c r="AX13" s="195" t="s">
        <v>49</v>
      </c>
      <c r="AY13" s="194">
        <v>-1148</v>
      </c>
      <c r="AZ13" s="195" t="s">
        <v>49</v>
      </c>
      <c r="BB13" s="42"/>
      <c r="BC13" s="42"/>
      <c r="BD13" s="42"/>
      <c r="BG13" s="196" t="s">
        <v>261</v>
      </c>
      <c r="BH13" s="194"/>
      <c r="BI13" s="195"/>
      <c r="BJ13" s="194"/>
      <c r="BK13" s="195"/>
      <c r="BM13" s="42"/>
      <c r="BN13" s="42"/>
      <c r="BO13" s="42"/>
    </row>
    <row r="14" spans="2:68" ht="16">
      <c r="B14" s="163" t="s">
        <v>262</v>
      </c>
      <c r="C14" s="164" t="s">
        <v>49</v>
      </c>
      <c r="D14" t="s">
        <v>49</v>
      </c>
      <c r="E14" t="s">
        <v>49</v>
      </c>
      <c r="F14">
        <v>94</v>
      </c>
      <c r="H14" s="42"/>
      <c r="I14" s="42"/>
      <c r="J14" s="42"/>
      <c r="M14" s="163" t="s">
        <v>263</v>
      </c>
      <c r="N14" s="194">
        <v>15982</v>
      </c>
      <c r="O14" s="194">
        <v>13165</v>
      </c>
      <c r="P14" s="194">
        <v>8657</v>
      </c>
      <c r="Q14" s="194">
        <v>6073</v>
      </c>
      <c r="S14" s="42">
        <f>(N14-O14)/O14</f>
        <v>0.21397645271553362</v>
      </c>
      <c r="T14" s="42">
        <f t="shared" si="5"/>
        <v>0.52073466558854109</v>
      </c>
      <c r="U14" s="42">
        <f>(P14-Q14)/Q14</f>
        <v>0.425489873209287</v>
      </c>
      <c r="Y14" s="196" t="s">
        <v>264</v>
      </c>
      <c r="Z14" s="10">
        <v>214</v>
      </c>
      <c r="AA14" s="10">
        <v>-130</v>
      </c>
      <c r="AB14" s="10">
        <v>-90</v>
      </c>
      <c r="AC14" s="10">
        <v>39</v>
      </c>
      <c r="AE14" s="42">
        <f t="shared" si="3"/>
        <v>-2.6461538461538461</v>
      </c>
      <c r="AF14" s="42">
        <f t="shared" si="0"/>
        <v>0.44444444444444442</v>
      </c>
      <c r="AG14" s="42">
        <f t="shared" si="1"/>
        <v>-3.3076923076923075</v>
      </c>
      <c r="AJ14" s="196" t="s">
        <v>264</v>
      </c>
      <c r="AK14" s="10">
        <v>871</v>
      </c>
      <c r="AL14" s="10">
        <v>-1776</v>
      </c>
      <c r="AM14" s="10">
        <v>-837</v>
      </c>
      <c r="AN14" s="10">
        <v>429</v>
      </c>
      <c r="AP14" s="42">
        <f t="shared" si="2"/>
        <v>-1.490427927927928</v>
      </c>
      <c r="AQ14" s="42">
        <f t="shared" si="2"/>
        <v>1.1218637992831542</v>
      </c>
      <c r="AR14" s="42">
        <f t="shared" si="2"/>
        <v>-2.9510489510489513</v>
      </c>
      <c r="AV14" s="196" t="s">
        <v>265</v>
      </c>
      <c r="AW14" s="194">
        <v>-380</v>
      </c>
      <c r="AX14" s="194">
        <v>-617</v>
      </c>
      <c r="AY14" s="194">
        <v>-111</v>
      </c>
      <c r="AZ14" s="194">
        <v>-2154</v>
      </c>
      <c r="BB14" s="42">
        <f t="shared" ref="BB14:BD16" si="8">(AW14-AX14)/AX14</f>
        <v>-0.3841166936790924</v>
      </c>
      <c r="BC14" s="42">
        <f t="shared" si="8"/>
        <v>4.5585585585585582</v>
      </c>
      <c r="BD14" s="42">
        <f t="shared" si="8"/>
        <v>-0.94846796657381616</v>
      </c>
      <c r="BG14" s="196" t="s">
        <v>255</v>
      </c>
      <c r="BH14" s="194">
        <v>-10550</v>
      </c>
      <c r="BI14" s="194">
        <v>-8989</v>
      </c>
      <c r="BJ14" s="194">
        <v>1461</v>
      </c>
      <c r="BK14" s="194">
        <v>-2458</v>
      </c>
      <c r="BM14" s="42">
        <f t="shared" ref="BM14:BO18" si="9">(BH14-BI14)/BI14</f>
        <v>0.17365669151184782</v>
      </c>
      <c r="BN14" s="42">
        <f t="shared" si="9"/>
        <v>-7.1526351813826148</v>
      </c>
      <c r="BO14" s="42">
        <f t="shared" si="9"/>
        <v>-1.5943856794141578</v>
      </c>
    </row>
    <row r="15" spans="2:68" ht="17" thickBot="1">
      <c r="B15" s="208" t="s">
        <v>266</v>
      </c>
      <c r="C15" s="169">
        <f>SUM(C9:C14)</f>
        <v>55294</v>
      </c>
      <c r="D15" s="201">
        <f>SUM(D9:D14)</f>
        <v>60979</v>
      </c>
      <c r="E15" s="201">
        <f>SUM(E9:E14)</f>
        <v>51237</v>
      </c>
      <c r="F15" s="201">
        <f>SUM(F9:F14)</f>
        <v>45274</v>
      </c>
      <c r="H15" s="269">
        <f t="shared" ref="H15:J21" si="10">(C15-D15)/D15</f>
        <v>-9.322881647780383E-2</v>
      </c>
      <c r="I15" s="269">
        <f t="shared" si="10"/>
        <v>0.19013603450631381</v>
      </c>
      <c r="J15" s="269">
        <f t="shared" si="10"/>
        <v>0.13170914873879047</v>
      </c>
      <c r="M15" s="168" t="s">
        <v>266</v>
      </c>
      <c r="N15" s="205">
        <f>SUM(N9:N14)</f>
        <v>189147</v>
      </c>
      <c r="O15" s="205">
        <f>SUM(O9:O14)</f>
        <v>213796</v>
      </c>
      <c r="P15" s="205">
        <f>SUM(P9:P14)</f>
        <v>173557</v>
      </c>
      <c r="Q15" s="205">
        <f>SUM(Q9:Q14)</f>
        <v>167892</v>
      </c>
      <c r="S15" s="269">
        <f>(N15-O15)/O15</f>
        <v>-0.11529214765477371</v>
      </c>
      <c r="T15" s="269">
        <f t="shared" si="5"/>
        <v>0.23184890266598293</v>
      </c>
      <c r="U15" s="269">
        <f>(P15-Q15)/Q15</f>
        <v>3.3741929335525216E-2</v>
      </c>
      <c r="Y15" s="196" t="s">
        <v>267</v>
      </c>
      <c r="Z15" s="10">
        <v>-2192</v>
      </c>
      <c r="AA15" s="10">
        <v>-1641</v>
      </c>
      <c r="AB15" s="10">
        <v>-3327</v>
      </c>
      <c r="AC15" s="10">
        <v>-3681</v>
      </c>
      <c r="AE15" s="42">
        <f t="shared" si="3"/>
        <v>0.33577087141986595</v>
      </c>
      <c r="AF15" s="42">
        <f t="shared" si="0"/>
        <v>-0.50676284941388638</v>
      </c>
      <c r="AG15" s="42">
        <f t="shared" si="1"/>
        <v>-9.6169519152404237E-2</v>
      </c>
      <c r="AJ15" s="196" t="s">
        <v>267</v>
      </c>
      <c r="AK15" s="193" t="s">
        <v>49</v>
      </c>
      <c r="AL15" s="193" t="s">
        <v>49</v>
      </c>
      <c r="AM15" s="193" t="s">
        <v>49</v>
      </c>
      <c r="AN15" s="193" t="s">
        <v>49</v>
      </c>
      <c r="AP15" s="42"/>
      <c r="AQ15" s="42"/>
      <c r="AR15" s="42"/>
      <c r="AV15" s="196" t="s">
        <v>268</v>
      </c>
      <c r="AW15" s="194">
        <v>-1663</v>
      </c>
      <c r="AX15" s="194">
        <v>-2079</v>
      </c>
      <c r="AY15" s="194">
        <v>-1141</v>
      </c>
      <c r="AZ15" s="194">
        <v>-2476</v>
      </c>
      <c r="BB15" s="42">
        <f t="shared" si="8"/>
        <v>-0.20009620009620011</v>
      </c>
      <c r="BC15" s="42">
        <f t="shared" si="8"/>
        <v>0.82208588957055218</v>
      </c>
      <c r="BD15" s="42">
        <f t="shared" si="8"/>
        <v>-0.53917609046849757</v>
      </c>
      <c r="BG15" s="196" t="s">
        <v>169</v>
      </c>
      <c r="BH15" s="194">
        <v>-39996</v>
      </c>
      <c r="BI15" s="194">
        <v>1001</v>
      </c>
      <c r="BJ15" s="194">
        <v>-24129</v>
      </c>
      <c r="BK15" s="10">
        <v>4649</v>
      </c>
      <c r="BM15" s="42">
        <f t="shared" si="9"/>
        <v>-40.956043956043956</v>
      </c>
      <c r="BN15" s="42">
        <f t="shared" si="9"/>
        <v>-1.0414853495793444</v>
      </c>
      <c r="BO15" s="42">
        <f t="shared" si="9"/>
        <v>-6.1901484190148421</v>
      </c>
    </row>
    <row r="16" spans="2:68" ht="16">
      <c r="B16" s="163" t="s">
        <v>269</v>
      </c>
      <c r="C16" s="164">
        <v>19803</v>
      </c>
      <c r="D16" s="164">
        <v>18962</v>
      </c>
      <c r="E16" s="164">
        <v>18766</v>
      </c>
      <c r="F16" s="164">
        <v>17658</v>
      </c>
      <c r="H16" s="42">
        <f t="shared" si="10"/>
        <v>4.435186161797279E-2</v>
      </c>
      <c r="I16" s="42">
        <f t="shared" si="10"/>
        <v>1.0444420760950656E-2</v>
      </c>
      <c r="J16" s="42">
        <f t="shared" si="10"/>
        <v>6.2747763053573449E-2</v>
      </c>
      <c r="M16" s="163" t="s">
        <v>270</v>
      </c>
      <c r="N16" s="194">
        <v>29947</v>
      </c>
      <c r="O16" s="195" t="s">
        <v>49</v>
      </c>
      <c r="P16" s="194">
        <v>6189</v>
      </c>
      <c r="Q16" s="195" t="s">
        <v>49</v>
      </c>
      <c r="S16" s="42"/>
      <c r="T16" s="42"/>
      <c r="U16" s="42"/>
      <c r="Y16" s="197" t="s">
        <v>271</v>
      </c>
      <c r="Z16" s="214">
        <f>SUM(Z13:Z15)</f>
        <v>21725</v>
      </c>
      <c r="AA16" s="214">
        <f>SUM(AA13:AA15)</f>
        <v>22776</v>
      </c>
      <c r="AB16" s="214">
        <f>SUM(AB13:AB15)</f>
        <v>16497</v>
      </c>
      <c r="AC16" s="214">
        <f>SUM(AC13:AC15)</f>
        <v>17328</v>
      </c>
      <c r="AE16" s="274">
        <f t="shared" si="3"/>
        <v>-4.6145064980681418E-2</v>
      </c>
      <c r="AF16" s="274">
        <f t="shared" si="0"/>
        <v>0.38061465721040189</v>
      </c>
      <c r="AG16" s="274">
        <f t="shared" si="1"/>
        <v>-4.7957063711911357E-2</v>
      </c>
      <c r="AJ16" s="197" t="s">
        <v>271</v>
      </c>
      <c r="AK16" s="186">
        <f>SUM(AK13:AK15)</f>
        <v>-48909</v>
      </c>
      <c r="AL16" s="186">
        <f>SUM(AL13:AL15)</f>
        <v>-38602</v>
      </c>
      <c r="AM16" s="186">
        <f>SUM(AM13:AM15)</f>
        <v>-14377</v>
      </c>
      <c r="AN16" s="186">
        <f>SUM(AN13:AN15)</f>
        <v>-31028</v>
      </c>
      <c r="AP16" s="274">
        <f t="shared" ref="AP16:AR17" si="11">(AK16-AL16)/AL16</f>
        <v>0.26700689083467177</v>
      </c>
      <c r="AQ16" s="274">
        <f t="shared" si="11"/>
        <v>1.6849829588926759</v>
      </c>
      <c r="AR16" s="274">
        <f t="shared" si="11"/>
        <v>-0.53664432125821837</v>
      </c>
      <c r="AV16" s="196" t="s">
        <v>272</v>
      </c>
      <c r="AW16" s="194">
        <v>-17</v>
      </c>
      <c r="AX16" s="194">
        <v>-48</v>
      </c>
      <c r="AY16" s="194">
        <v>63</v>
      </c>
      <c r="AZ16" s="194">
        <v>-20</v>
      </c>
      <c r="BB16" s="42">
        <f t="shared" si="8"/>
        <v>-0.64583333333333337</v>
      </c>
      <c r="BC16" s="42">
        <f t="shared" si="8"/>
        <v>-1.7619047619047619</v>
      </c>
      <c r="BD16" s="42">
        <f t="shared" si="8"/>
        <v>-4.1500000000000004</v>
      </c>
      <c r="BG16" s="196" t="s">
        <v>273</v>
      </c>
      <c r="BH16" s="194">
        <v>-4358</v>
      </c>
      <c r="BI16" s="194">
        <v>-6114</v>
      </c>
      <c r="BJ16" s="194">
        <v>-1496</v>
      </c>
      <c r="BK16" s="194">
        <v>-1421</v>
      </c>
      <c r="BM16" s="42">
        <f t="shared" si="9"/>
        <v>-0.28720968269545305</v>
      </c>
      <c r="BN16" s="42">
        <f t="shared" si="9"/>
        <v>3.0868983957219251</v>
      </c>
      <c r="BO16" s="42">
        <f t="shared" si="9"/>
        <v>5.2779732582688248E-2</v>
      </c>
    </row>
    <row r="17" spans="2:67" ht="16">
      <c r="B17" s="163" t="s">
        <v>274</v>
      </c>
      <c r="C17" s="164">
        <v>48325</v>
      </c>
      <c r="D17" s="164">
        <v>46392</v>
      </c>
      <c r="E17" s="164">
        <v>53402</v>
      </c>
      <c r="F17" s="164">
        <v>47643</v>
      </c>
      <c r="H17" s="42">
        <f t="shared" si="10"/>
        <v>4.1666666666666664E-2</v>
      </c>
      <c r="I17" s="42">
        <f t="shared" si="10"/>
        <v>-0.13126849181678588</v>
      </c>
      <c r="J17" s="42">
        <f t="shared" si="10"/>
        <v>0.12087819826627207</v>
      </c>
      <c r="M17" s="163" t="s">
        <v>275</v>
      </c>
      <c r="N17" s="194">
        <v>14327</v>
      </c>
      <c r="O17" s="194">
        <v>52952</v>
      </c>
      <c r="P17" s="194">
        <v>56703</v>
      </c>
      <c r="Q17" s="194">
        <v>61224</v>
      </c>
      <c r="S17" s="42">
        <f t="shared" ref="S17:U21" si="12">(N17-O17)/O17</f>
        <v>-0.72943420456262276</v>
      </c>
      <c r="T17" s="42">
        <f t="shared" si="12"/>
        <v>-6.6151702731777853E-2</v>
      </c>
      <c r="U17" s="42">
        <f t="shared" si="12"/>
        <v>-7.3843590748725985E-2</v>
      </c>
      <c r="Y17" s="196" t="s">
        <v>276</v>
      </c>
      <c r="Z17">
        <v>-3784</v>
      </c>
      <c r="AA17">
        <v>-1898</v>
      </c>
      <c r="AB17">
        <v>-1783</v>
      </c>
      <c r="AC17">
        <v>-2209</v>
      </c>
      <c r="AE17" s="42">
        <f t="shared" si="3"/>
        <v>0.9936775553213909</v>
      </c>
      <c r="AF17" s="42">
        <f t="shared" si="0"/>
        <v>6.449803701626472E-2</v>
      </c>
      <c r="AG17" s="42">
        <f t="shared" si="1"/>
        <v>-0.19284744228157538</v>
      </c>
      <c r="AJ17" s="196" t="s">
        <v>276</v>
      </c>
      <c r="AK17">
        <v>-110</v>
      </c>
      <c r="AL17">
        <v>-77</v>
      </c>
      <c r="AM17">
        <v>-89</v>
      </c>
      <c r="AN17">
        <v>-55</v>
      </c>
      <c r="AP17" s="42">
        <f t="shared" si="11"/>
        <v>0.42857142857142855</v>
      </c>
      <c r="AQ17" s="42">
        <f t="shared" si="11"/>
        <v>-0.1348314606741573</v>
      </c>
      <c r="AR17" s="42">
        <f t="shared" si="11"/>
        <v>0.61818181818181817</v>
      </c>
      <c r="AV17" s="196" t="s">
        <v>277</v>
      </c>
      <c r="AW17" s="194"/>
      <c r="AX17" s="194"/>
      <c r="AY17" s="194"/>
      <c r="AZ17" s="194"/>
      <c r="BB17" s="42"/>
      <c r="BC17" s="42"/>
      <c r="BD17" s="42"/>
      <c r="BG17" s="196" t="s">
        <v>278</v>
      </c>
      <c r="BH17" s="10">
        <v>10396</v>
      </c>
      <c r="BI17" s="194">
        <v>-6691</v>
      </c>
      <c r="BJ17" s="194">
        <v>13748</v>
      </c>
      <c r="BK17" s="194">
        <v>-5163</v>
      </c>
      <c r="BM17" s="42">
        <f t="shared" si="9"/>
        <v>-2.5537288895531312</v>
      </c>
      <c r="BN17" s="42">
        <f t="shared" si="9"/>
        <v>-1.4866889729415187</v>
      </c>
      <c r="BO17" s="42">
        <f t="shared" si="9"/>
        <v>-3.6627929498353669</v>
      </c>
    </row>
    <row r="18" spans="2:67" ht="17" thickBot="1">
      <c r="B18" s="163" t="s">
        <v>279</v>
      </c>
      <c r="C18" s="164">
        <v>45231</v>
      </c>
      <c r="D18" s="164">
        <v>35246</v>
      </c>
      <c r="E18" s="164">
        <v>36393</v>
      </c>
      <c r="F18" s="164">
        <v>33639</v>
      </c>
      <c r="H18" s="42">
        <f t="shared" si="10"/>
        <v>0.28329455824774441</v>
      </c>
      <c r="I18" s="42">
        <f t="shared" si="10"/>
        <v>-3.1517049982139424E-2</v>
      </c>
      <c r="J18" s="42">
        <f t="shared" si="10"/>
        <v>8.1869258895924377E-2</v>
      </c>
      <c r="M18" s="163" t="s">
        <v>280</v>
      </c>
      <c r="N18" s="194">
        <v>2230</v>
      </c>
      <c r="O18" s="194">
        <v>2230</v>
      </c>
      <c r="P18" s="194">
        <v>2230</v>
      </c>
      <c r="Q18" s="194">
        <v>2230</v>
      </c>
      <c r="S18" s="42">
        <f t="shared" si="12"/>
        <v>0</v>
      </c>
      <c r="T18" s="42">
        <f t="shared" si="12"/>
        <v>0</v>
      </c>
      <c r="U18" s="42">
        <f t="shared" si="12"/>
        <v>0</v>
      </c>
      <c r="Y18" s="196" t="s">
        <v>281</v>
      </c>
      <c r="Z18" s="120" t="s">
        <v>49</v>
      </c>
      <c r="AA18" s="120" t="s">
        <v>49</v>
      </c>
      <c r="AB18" s="120" t="s">
        <v>49</v>
      </c>
      <c r="AC18" s="120" t="s">
        <v>49</v>
      </c>
      <c r="AE18" s="42"/>
      <c r="AF18" s="42"/>
      <c r="AG18" s="42"/>
      <c r="AJ18" s="196" t="s">
        <v>281</v>
      </c>
      <c r="AK18" s="120" t="s">
        <v>49</v>
      </c>
      <c r="AL18" s="120" t="s">
        <v>49</v>
      </c>
      <c r="AM18" s="120" t="s">
        <v>49</v>
      </c>
      <c r="AN18" s="120" t="s">
        <v>49</v>
      </c>
      <c r="AP18" s="42"/>
      <c r="AQ18" s="42"/>
      <c r="AR18" s="42"/>
      <c r="AV18" s="196" t="s">
        <v>282</v>
      </c>
      <c r="AW18" s="194">
        <v>-1290</v>
      </c>
      <c r="AX18" s="194">
        <v>-2402</v>
      </c>
      <c r="AY18" s="194">
        <v>774</v>
      </c>
      <c r="AZ18" s="194">
        <v>-289</v>
      </c>
      <c r="BB18" s="42">
        <f t="shared" ref="BB18:BD23" si="13">(AW18-AX18)/AX18</f>
        <v>-0.462947543713572</v>
      </c>
      <c r="BC18" s="42">
        <f t="shared" si="13"/>
        <v>-4.1033591731266146</v>
      </c>
      <c r="BD18" s="42">
        <f t="shared" si="13"/>
        <v>-3.6782006920415227</v>
      </c>
      <c r="BG18" s="196" t="s">
        <v>283</v>
      </c>
      <c r="BH18">
        <v>83</v>
      </c>
      <c r="BI18" s="194">
        <v>14</v>
      </c>
      <c r="BJ18" s="194">
        <v>-109</v>
      </c>
      <c r="BK18" s="194">
        <v>-412</v>
      </c>
      <c r="BM18" s="42">
        <f t="shared" si="9"/>
        <v>4.9285714285714288</v>
      </c>
      <c r="BN18" s="42">
        <f t="shared" si="9"/>
        <v>-1.128440366972477</v>
      </c>
      <c r="BO18" s="42">
        <f t="shared" si="9"/>
        <v>-0.7354368932038835</v>
      </c>
    </row>
    <row r="19" spans="2:67" ht="17" thickBot="1">
      <c r="B19" s="163" t="s">
        <v>284</v>
      </c>
      <c r="C19" s="164">
        <v>9123</v>
      </c>
      <c r="D19" s="164">
        <v>10223</v>
      </c>
      <c r="E19" s="164">
        <v>8534</v>
      </c>
      <c r="F19" s="164">
        <v>7819</v>
      </c>
      <c r="H19" s="42">
        <f t="shared" si="10"/>
        <v>-0.10760050865695002</v>
      </c>
      <c r="I19" s="42">
        <f t="shared" si="10"/>
        <v>0.19791422545113663</v>
      </c>
      <c r="J19" s="42">
        <f t="shared" si="10"/>
        <v>9.1443918659675147E-2</v>
      </c>
      <c r="M19" s="163" t="s">
        <v>274</v>
      </c>
      <c r="N19" s="194">
        <v>370</v>
      </c>
      <c r="O19" s="194">
        <v>440</v>
      </c>
      <c r="P19" s="194">
        <v>511</v>
      </c>
      <c r="Q19" s="194">
        <v>581</v>
      </c>
      <c r="S19" s="42">
        <f t="shared" si="12"/>
        <v>-0.15909090909090909</v>
      </c>
      <c r="T19" s="42">
        <f t="shared" si="12"/>
        <v>-0.13894324853228962</v>
      </c>
      <c r="U19" s="42">
        <f t="shared" si="12"/>
        <v>-0.12048192771084337</v>
      </c>
      <c r="Y19" s="199" t="s">
        <v>285</v>
      </c>
      <c r="Z19" s="210">
        <f>SUM(Z16:Z18)</f>
        <v>17941</v>
      </c>
      <c r="AA19" s="210">
        <f>SUM(AA16:AA18)</f>
        <v>20878</v>
      </c>
      <c r="AB19" s="210">
        <f>SUM(AB16:AB18)</f>
        <v>14714</v>
      </c>
      <c r="AC19" s="213">
        <f>SUM(AC16:AC18)</f>
        <v>15119</v>
      </c>
      <c r="AE19" s="270">
        <f>(Z19-AA19)/AA19</f>
        <v>-0.14067439409905164</v>
      </c>
      <c r="AF19" s="271">
        <f>(AA19-AB19)/AB19</f>
        <v>0.41892075574282994</v>
      </c>
      <c r="AG19" s="272">
        <f>(AB19-AC19)/AC19</f>
        <v>-2.6787485944837621E-2</v>
      </c>
      <c r="AJ19" s="199" t="s">
        <v>285</v>
      </c>
      <c r="AK19" s="176">
        <f>SUM(AK16:AK18)</f>
        <v>-49019</v>
      </c>
      <c r="AL19" s="176">
        <f>SUM(AL16:AL18)</f>
        <v>-38679</v>
      </c>
      <c r="AM19" s="176">
        <f>SUM(AM16:AM18)</f>
        <v>-14466</v>
      </c>
      <c r="AN19" s="176">
        <f>SUM(AN16:AN18)</f>
        <v>-31083</v>
      </c>
      <c r="AP19" s="270">
        <f>(AK19-AL19)/AL19</f>
        <v>0.26732852452235062</v>
      </c>
      <c r="AQ19" s="271">
        <f>(AL19-AM19)/AM19</f>
        <v>1.6737868104520945</v>
      </c>
      <c r="AR19" s="272">
        <f>(AM19-AN19)/AN19</f>
        <v>-0.53460090724833509</v>
      </c>
      <c r="AV19" s="196" t="s">
        <v>286</v>
      </c>
      <c r="AW19" s="194">
        <v>-2527</v>
      </c>
      <c r="AX19" s="194">
        <v>-1248</v>
      </c>
      <c r="AY19" s="194">
        <v>-265</v>
      </c>
      <c r="AZ19" s="194">
        <v>-277</v>
      </c>
      <c r="BB19" s="42">
        <f t="shared" si="13"/>
        <v>1.0248397435897436</v>
      </c>
      <c r="BC19" s="42">
        <f t="shared" si="13"/>
        <v>3.7094339622641508</v>
      </c>
      <c r="BD19" s="42">
        <f t="shared" si="13"/>
        <v>-4.3321299638989168E-2</v>
      </c>
      <c r="BG19" s="196" t="s">
        <v>287</v>
      </c>
      <c r="BH19" s="10">
        <v>-7007</v>
      </c>
      <c r="BI19" s="194" t="s">
        <v>49</v>
      </c>
      <c r="BJ19" s="194" t="s">
        <v>49</v>
      </c>
      <c r="BK19" s="194" t="s">
        <v>49</v>
      </c>
      <c r="BM19" s="42"/>
      <c r="BN19" s="42"/>
      <c r="BO19" s="42"/>
    </row>
    <row r="20" spans="2:67" ht="17" thickBot="1">
      <c r="B20" s="196" t="s">
        <v>288</v>
      </c>
      <c r="C20" s="164">
        <v>9602</v>
      </c>
      <c r="D20" s="164">
        <v>10216</v>
      </c>
      <c r="E20" s="164">
        <v>6562</v>
      </c>
      <c r="F20" s="164">
        <v>5695</v>
      </c>
      <c r="H20" s="42">
        <f t="shared" si="10"/>
        <v>-6.0101801096319497E-2</v>
      </c>
      <c r="I20" s="42">
        <f t="shared" si="10"/>
        <v>0.55684242608960688</v>
      </c>
      <c r="J20" s="42">
        <f t="shared" si="10"/>
        <v>0.15223880597014924</v>
      </c>
      <c r="M20" s="163" t="s">
        <v>289</v>
      </c>
      <c r="N20" s="194">
        <v>4578</v>
      </c>
      <c r="O20" s="194">
        <v>3179</v>
      </c>
      <c r="P20" s="194">
        <v>1542</v>
      </c>
      <c r="Q20" s="194">
        <v>2095</v>
      </c>
      <c r="S20" s="42">
        <f t="shared" si="12"/>
        <v>0.44007549543881724</v>
      </c>
      <c r="T20" s="42">
        <f t="shared" si="12"/>
        <v>1.0616083009079118</v>
      </c>
      <c r="U20" s="42">
        <f t="shared" si="12"/>
        <v>-0.26396181384248207</v>
      </c>
      <c r="Y20" s="200"/>
      <c r="Z20" s="185"/>
      <c r="AA20" s="185"/>
      <c r="AB20" s="185"/>
      <c r="AC20" s="185"/>
      <c r="AE20" s="42"/>
      <c r="AF20" s="42"/>
      <c r="AG20" s="42"/>
      <c r="AJ20" s="200"/>
      <c r="AK20" s="185"/>
      <c r="AL20" s="185"/>
      <c r="AM20" s="185"/>
      <c r="AN20" s="185"/>
      <c r="AP20" s="42"/>
      <c r="AQ20" s="42"/>
      <c r="AR20" s="42"/>
      <c r="AV20" s="196" t="s">
        <v>290</v>
      </c>
      <c r="AW20" s="194">
        <v>1098</v>
      </c>
      <c r="AX20" s="194">
        <v>2437</v>
      </c>
      <c r="AY20" s="194">
        <v>5141</v>
      </c>
      <c r="AZ20" s="194">
        <v>4060</v>
      </c>
      <c r="BB20" s="42">
        <f t="shared" si="13"/>
        <v>-0.54944604021337706</v>
      </c>
      <c r="BC20" s="42">
        <f t="shared" si="13"/>
        <v>-0.52596771056214742</v>
      </c>
      <c r="BD20" s="42">
        <f t="shared" si="13"/>
        <v>0.266256157635468</v>
      </c>
      <c r="BG20" s="199" t="s">
        <v>291</v>
      </c>
      <c r="BH20" s="206">
        <f>SUM(BH8:BH19)</f>
        <v>-76275</v>
      </c>
      <c r="BI20" s="206">
        <f>SUM(BI8:BI19)</f>
        <v>-38154</v>
      </c>
      <c r="BJ20" s="206">
        <f>SUM(BJ8:BJ19)</f>
        <v>-12066</v>
      </c>
      <c r="BK20" s="206">
        <f>SUM(BK8:BK19)</f>
        <v>-19992</v>
      </c>
      <c r="BM20" s="270">
        <f>(BH20-BI20)/BI20</f>
        <v>0.99913508413272523</v>
      </c>
      <c r="BN20" s="271">
        <f>(BI20-BJ20)/BJ20</f>
        <v>2.1621084037792144</v>
      </c>
      <c r="BO20" s="272">
        <f>(BJ20-BK20)/BK20</f>
        <v>-0.39645858343337337</v>
      </c>
    </row>
    <row r="21" spans="2:67" ht="17" thickBot="1">
      <c r="B21" s="167" t="s">
        <v>200</v>
      </c>
      <c r="C21" s="206">
        <f>SUM(C15:C20)</f>
        <v>187378</v>
      </c>
      <c r="D21" s="206">
        <f>SUM(D15:D20)</f>
        <v>182018</v>
      </c>
      <c r="E21" s="206">
        <f>SUM(E15:E20)</f>
        <v>174894</v>
      </c>
      <c r="F21" s="206">
        <f>SUM(F15:F20)</f>
        <v>157728</v>
      </c>
      <c r="H21" s="174">
        <f t="shared" si="10"/>
        <v>2.9447637046885473E-2</v>
      </c>
      <c r="I21" s="174">
        <f t="shared" si="10"/>
        <v>4.0733244136448361E-2</v>
      </c>
      <c r="J21" s="174">
        <f t="shared" si="10"/>
        <v>0.10883292757151553</v>
      </c>
      <c r="M21" s="167" t="s">
        <v>200</v>
      </c>
      <c r="N21" s="206">
        <f>SUM(N15:N20)</f>
        <v>240599</v>
      </c>
      <c r="O21" s="206">
        <f>SUM(O15:O20)</f>
        <v>272597</v>
      </c>
      <c r="P21" s="206">
        <f>SUM(P15:P20)</f>
        <v>240732</v>
      </c>
      <c r="Q21" s="206">
        <f>SUM(Q15:Q20)</f>
        <v>234022</v>
      </c>
      <c r="S21" s="174">
        <f t="shared" si="12"/>
        <v>-0.11738206950186539</v>
      </c>
      <c r="T21" s="174">
        <f t="shared" si="12"/>
        <v>0.13236711363674128</v>
      </c>
      <c r="U21" s="174">
        <f t="shared" si="12"/>
        <v>2.8672517968396132E-2</v>
      </c>
      <c r="Y21" s="200" t="s">
        <v>292</v>
      </c>
      <c r="Z21" s="1">
        <v>6.83</v>
      </c>
      <c r="AA21" s="1">
        <v>7.93</v>
      </c>
      <c r="AB21" s="1">
        <v>5.59</v>
      </c>
      <c r="AC21" s="1">
        <v>5.72</v>
      </c>
      <c r="AE21" s="42">
        <f t="shared" ref="AE21:AG24" si="14">(Z21-AA21)/AA21</f>
        <v>-0.13871374527112229</v>
      </c>
      <c r="AF21" s="42">
        <f t="shared" si="14"/>
        <v>0.41860465116279066</v>
      </c>
      <c r="AG21" s="42">
        <f t="shared" si="14"/>
        <v>-2.2727272727272711E-2</v>
      </c>
      <c r="AJ21" s="200" t="s">
        <v>292</v>
      </c>
      <c r="AK21" s="178">
        <v>-0.53</v>
      </c>
      <c r="AL21" s="178">
        <v>-0.43</v>
      </c>
      <c r="AM21" s="178">
        <v>-0.17</v>
      </c>
      <c r="AN21" s="178">
        <v>-0.36</v>
      </c>
      <c r="AP21" s="42">
        <f t="shared" ref="AP21:AR24" si="15">(AK21-AL21)/AL21</f>
        <v>0.2325581395348838</v>
      </c>
      <c r="AQ21" s="42">
        <f t="shared" si="15"/>
        <v>1.5294117647058822</v>
      </c>
      <c r="AR21" s="42">
        <f t="shared" si="15"/>
        <v>-0.52777777777777768</v>
      </c>
      <c r="AV21" s="196" t="s">
        <v>293</v>
      </c>
      <c r="AW21" s="194">
        <v>687</v>
      </c>
      <c r="AX21" s="194">
        <v>-1964</v>
      </c>
      <c r="AY21" s="194">
        <v>-3704</v>
      </c>
      <c r="AZ21" s="194">
        <v>-1054</v>
      </c>
      <c r="BB21" s="42">
        <f t="shared" si="13"/>
        <v>-1.3497963340122199</v>
      </c>
      <c r="BC21" s="42">
        <f t="shared" si="13"/>
        <v>-0.46976241900647947</v>
      </c>
      <c r="BD21" s="42">
        <f t="shared" si="13"/>
        <v>2.5142314990512333</v>
      </c>
      <c r="BG21" s="200" t="s">
        <v>294</v>
      </c>
      <c r="BH21" s="194"/>
      <c r="BI21" s="194"/>
      <c r="BJ21" s="194"/>
      <c r="BK21" s="194"/>
      <c r="BM21" s="42"/>
      <c r="BN21" s="42"/>
      <c r="BO21" s="42"/>
    </row>
    <row r="22" spans="2:67" ht="17" thickBot="1">
      <c r="B22" s="200" t="s">
        <v>295</v>
      </c>
      <c r="H22" s="42"/>
      <c r="I22" s="42"/>
      <c r="J22" s="42"/>
      <c r="M22" s="1" t="s">
        <v>295</v>
      </c>
      <c r="N22" s="194"/>
      <c r="O22" s="194"/>
      <c r="P22" s="194"/>
      <c r="Q22" s="194"/>
      <c r="S22" s="42"/>
      <c r="T22" s="42"/>
      <c r="U22" s="42"/>
      <c r="Y22" s="200" t="s">
        <v>296</v>
      </c>
      <c r="Z22" s="1">
        <v>6.73</v>
      </c>
      <c r="AA22" s="1">
        <v>7.81</v>
      </c>
      <c r="AB22" s="1">
        <v>5.51</v>
      </c>
      <c r="AC22" s="1">
        <v>5.63</v>
      </c>
      <c r="AE22" s="42">
        <f t="shared" si="14"/>
        <v>-0.13828425096030719</v>
      </c>
      <c r="AF22" s="42">
        <f t="shared" si="14"/>
        <v>0.41742286751361157</v>
      </c>
      <c r="AG22" s="42">
        <f t="shared" si="14"/>
        <v>-2.1314387211367691E-2</v>
      </c>
      <c r="AJ22" s="200" t="s">
        <v>296</v>
      </c>
      <c r="AK22" s="178">
        <v>-0.53</v>
      </c>
      <c r="AL22" s="178">
        <v>-0.43</v>
      </c>
      <c r="AM22" s="178">
        <v>-0.17</v>
      </c>
      <c r="AN22" s="178">
        <v>-0.36</v>
      </c>
      <c r="AP22" s="42">
        <f t="shared" si="15"/>
        <v>0.2325581395348838</v>
      </c>
      <c r="AQ22" s="42">
        <f t="shared" si="15"/>
        <v>1.5294117647058822</v>
      </c>
      <c r="AR22" s="42">
        <f t="shared" si="15"/>
        <v>-0.52777777777777768</v>
      </c>
      <c r="AV22" s="196" t="s">
        <v>297</v>
      </c>
      <c r="AW22" s="194">
        <v>-1979</v>
      </c>
      <c r="AX22" s="194">
        <v>-1061</v>
      </c>
      <c r="AY22" s="194">
        <v>744</v>
      </c>
      <c r="AZ22" s="194">
        <v>1425</v>
      </c>
      <c r="BB22" s="42">
        <f t="shared" si="13"/>
        <v>0.8652214891611687</v>
      </c>
      <c r="BC22" s="42">
        <f t="shared" si="13"/>
        <v>-2.4260752688172045</v>
      </c>
      <c r="BD22" s="42">
        <f t="shared" si="13"/>
        <v>-0.47789473684210526</v>
      </c>
      <c r="BG22" s="196" t="s">
        <v>298</v>
      </c>
      <c r="BH22" s="194">
        <v>-12782</v>
      </c>
      <c r="BI22" s="194">
        <v>-65267</v>
      </c>
      <c r="BJ22" s="194">
        <v>-22462</v>
      </c>
      <c r="BK22" s="194">
        <v>-74433</v>
      </c>
      <c r="BM22" s="42">
        <f>(BH22-BI22)/BI22</f>
        <v>-0.80415830358374063</v>
      </c>
      <c r="BN22" s="42">
        <f>(BI22-BJ22)/BJ22</f>
        <v>1.9056628973377259</v>
      </c>
      <c r="BO22" s="42">
        <f>(BJ22-BK22)/BK22</f>
        <v>-0.69822524955328957</v>
      </c>
    </row>
    <row r="23" spans="2:67" ht="17" thickBot="1">
      <c r="B23" s="171" t="s">
        <v>299</v>
      </c>
      <c r="H23" s="42"/>
      <c r="I23" s="42"/>
      <c r="J23" s="42"/>
      <c r="M23" s="171" t="s">
        <v>299</v>
      </c>
      <c r="N23" s="194"/>
      <c r="O23" s="194"/>
      <c r="P23" s="194"/>
      <c r="Q23" s="194"/>
      <c r="S23" s="42"/>
      <c r="T23" s="42"/>
      <c r="U23" s="42"/>
      <c r="Y23" s="200" t="s">
        <v>300</v>
      </c>
      <c r="Z23" s="178">
        <v>2625.2</v>
      </c>
      <c r="AA23" s="178">
        <v>2632.1</v>
      </c>
      <c r="AB23" s="178">
        <v>2632.8</v>
      </c>
      <c r="AC23" s="178">
        <v>2645.1</v>
      </c>
      <c r="AE23" s="42">
        <f t="shared" si="14"/>
        <v>-2.6214809467725738E-3</v>
      </c>
      <c r="AF23" s="42">
        <f t="shared" si="14"/>
        <v>-2.6587663324227927E-4</v>
      </c>
      <c r="AG23" s="42">
        <f t="shared" si="14"/>
        <v>-4.650107746398899E-3</v>
      </c>
      <c r="AJ23" s="200" t="s">
        <v>300</v>
      </c>
      <c r="AK23" s="185">
        <v>92202</v>
      </c>
      <c r="AL23" s="185">
        <v>71126</v>
      </c>
      <c r="AM23" s="185">
        <v>86192</v>
      </c>
      <c r="AN23" s="185">
        <v>86192</v>
      </c>
      <c r="AP23" s="42">
        <f t="shared" si="15"/>
        <v>0.29631920816579027</v>
      </c>
      <c r="AQ23" s="42">
        <f t="shared" si="15"/>
        <v>-0.17479580471505476</v>
      </c>
      <c r="AR23" s="42">
        <f t="shared" si="15"/>
        <v>0</v>
      </c>
      <c r="AV23" s="199" t="s">
        <v>301</v>
      </c>
      <c r="AW23" s="181">
        <f>SUM(AW8:AW22)</f>
        <v>21194</v>
      </c>
      <c r="AX23" s="181">
        <f>SUM(AX8:AX22)</f>
        <v>23410</v>
      </c>
      <c r="AY23" s="181">
        <f>SUM(AY8:AY22)</f>
        <v>23536</v>
      </c>
      <c r="AZ23" s="181">
        <f>SUM(AZ8:AZ22)</f>
        <v>23416</v>
      </c>
      <c r="BB23" s="270">
        <f t="shared" si="13"/>
        <v>-9.4660401537804362E-2</v>
      </c>
      <c r="BC23" s="271">
        <f t="shared" si="13"/>
        <v>-5.3535010197144801E-3</v>
      </c>
      <c r="BD23" s="272">
        <f t="shared" si="13"/>
        <v>5.1247010591048857E-3</v>
      </c>
      <c r="BG23" s="196" t="s">
        <v>302</v>
      </c>
      <c r="BH23" s="194" t="s">
        <v>49</v>
      </c>
      <c r="BI23" s="194">
        <v>27394</v>
      </c>
      <c r="BJ23" s="10">
        <v>5830</v>
      </c>
      <c r="BK23" s="10">
        <v>4839</v>
      </c>
      <c r="BM23" s="42"/>
      <c r="BN23" s="42">
        <f t="shared" ref="BN23:BO26" si="16">(BI23-BJ23)/BJ23</f>
        <v>3.6987993138936535</v>
      </c>
      <c r="BO23" s="42">
        <f t="shared" si="16"/>
        <v>0.20479437900392644</v>
      </c>
    </row>
    <row r="24" spans="2:67" ht="16">
      <c r="B24" s="163" t="s">
        <v>303</v>
      </c>
      <c r="C24" s="164">
        <v>12771</v>
      </c>
      <c r="D24" s="164">
        <v>3766</v>
      </c>
      <c r="E24" s="164">
        <v>2631</v>
      </c>
      <c r="F24" s="164">
        <v>1202</v>
      </c>
      <c r="H24" s="42">
        <f t="shared" ref="H24:H36" si="17">(C24-D24)/D24</f>
        <v>2.3911311736590548</v>
      </c>
      <c r="I24" s="42">
        <f t="shared" ref="I24:I36" si="18">(D24-E24)/E24</f>
        <v>0.43139490687951348</v>
      </c>
      <c r="J24" s="42">
        <f t="shared" ref="J24:J36" si="19">(E24-F24)/F24</f>
        <v>1.1888519134775375</v>
      </c>
      <c r="M24" s="163" t="s">
        <v>304</v>
      </c>
      <c r="N24" s="194">
        <v>24755</v>
      </c>
      <c r="O24" s="194">
        <v>28743</v>
      </c>
      <c r="P24" s="194">
        <v>31132</v>
      </c>
      <c r="Q24" s="194">
        <v>20775</v>
      </c>
      <c r="S24" s="42">
        <f t="shared" ref="S24:U27" si="20">(N24-O24)/O24</f>
        <v>-0.13874682531398949</v>
      </c>
      <c r="T24" s="42">
        <f t="shared" si="20"/>
        <v>-7.6737761788513423E-2</v>
      </c>
      <c r="U24" s="42">
        <f t="shared" si="20"/>
        <v>0.49853188929001202</v>
      </c>
      <c r="Y24" s="200" t="s">
        <v>305</v>
      </c>
      <c r="Z24" s="178">
        <v>2663.9</v>
      </c>
      <c r="AA24" s="178">
        <v>2674</v>
      </c>
      <c r="AB24" s="178">
        <v>2670.7</v>
      </c>
      <c r="AC24" s="178">
        <v>2684.3</v>
      </c>
      <c r="AE24" s="42">
        <f t="shared" si="14"/>
        <v>-3.7771129394165701E-3</v>
      </c>
      <c r="AF24" s="42">
        <f t="shared" si="14"/>
        <v>1.235631107949295E-3</v>
      </c>
      <c r="AG24" s="42">
        <f t="shared" si="14"/>
        <v>-5.0664977834073551E-3</v>
      </c>
      <c r="AJ24" s="200" t="s">
        <v>305</v>
      </c>
      <c r="AK24" s="185">
        <v>92202</v>
      </c>
      <c r="AL24" s="185">
        <v>71126</v>
      </c>
      <c r="AM24" s="185">
        <v>87136</v>
      </c>
      <c r="AN24" s="185">
        <v>87136</v>
      </c>
      <c r="AP24" s="42">
        <f t="shared" si="15"/>
        <v>0.29631920816579027</v>
      </c>
      <c r="AQ24" s="42">
        <f t="shared" si="15"/>
        <v>-0.18373576937201616</v>
      </c>
      <c r="AR24" s="42">
        <f t="shared" si="15"/>
        <v>0</v>
      </c>
      <c r="AV24" s="200" t="s">
        <v>294</v>
      </c>
      <c r="AW24" s="194"/>
      <c r="AX24" s="194"/>
      <c r="AY24" s="194"/>
      <c r="AZ24" s="194"/>
      <c r="BB24" s="42"/>
      <c r="BC24" s="42"/>
      <c r="BD24" s="42"/>
      <c r="BG24" s="196" t="s">
        <v>306</v>
      </c>
      <c r="BH24" s="194">
        <v>49362</v>
      </c>
      <c r="BI24" s="194">
        <v>29470</v>
      </c>
      <c r="BJ24" s="10">
        <v>53528</v>
      </c>
      <c r="BK24" s="10">
        <v>81262</v>
      </c>
      <c r="BM24" s="42">
        <f>(BH24-BI24)/BI24</f>
        <v>0.67499151679674241</v>
      </c>
      <c r="BN24" s="42">
        <f t="shared" si="16"/>
        <v>-0.44944701838290241</v>
      </c>
      <c r="BO24" s="42">
        <f t="shared" si="16"/>
        <v>-0.34129113238660136</v>
      </c>
    </row>
    <row r="25" spans="2:67" ht="17" thickBot="1">
      <c r="B25" s="163" t="s">
        <v>304</v>
      </c>
      <c r="C25" s="164">
        <v>11703</v>
      </c>
      <c r="D25" s="164">
        <v>11055</v>
      </c>
      <c r="E25" s="164">
        <v>9505</v>
      </c>
      <c r="F25" s="164">
        <v>8544</v>
      </c>
      <c r="H25" s="42">
        <f t="shared" si="17"/>
        <v>5.8616010854816825E-2</v>
      </c>
      <c r="I25" s="42">
        <f t="shared" si="18"/>
        <v>0.16307206733298263</v>
      </c>
      <c r="J25" s="42">
        <f t="shared" si="19"/>
        <v>0.11247659176029963</v>
      </c>
      <c r="M25" s="163" t="s">
        <v>307</v>
      </c>
      <c r="N25" s="194">
        <v>38010</v>
      </c>
      <c r="O25" s="194">
        <v>19003</v>
      </c>
      <c r="P25" s="194">
        <v>22222</v>
      </c>
      <c r="Q25" s="194">
        <v>17090</v>
      </c>
      <c r="S25" s="42">
        <f t="shared" si="20"/>
        <v>1.00021049308004</v>
      </c>
      <c r="T25" s="42">
        <f t="shared" si="20"/>
        <v>-0.14485644856448565</v>
      </c>
      <c r="U25" s="42">
        <f t="shared" si="20"/>
        <v>0.30029256875365712</v>
      </c>
      <c r="Y25" s="200"/>
      <c r="Z25" s="178"/>
      <c r="AA25" s="178"/>
      <c r="AB25" s="178"/>
      <c r="AC25" s="178"/>
      <c r="AE25" s="42"/>
      <c r="AF25" s="42"/>
      <c r="AG25" s="42"/>
      <c r="AJ25" s="200"/>
      <c r="AK25" s="178"/>
      <c r="AL25" s="178"/>
      <c r="AM25" s="178"/>
      <c r="AN25" s="178"/>
      <c r="AP25" s="42"/>
      <c r="AQ25" s="42"/>
      <c r="AR25" s="42"/>
      <c r="AV25" s="196" t="s">
        <v>308</v>
      </c>
      <c r="AW25" s="194">
        <v>-4009</v>
      </c>
      <c r="AX25" s="194">
        <v>-3652</v>
      </c>
      <c r="AY25" s="194">
        <v>-3347</v>
      </c>
      <c r="AZ25" s="194">
        <v>-3498</v>
      </c>
      <c r="BB25" s="42">
        <f t="shared" ref="BB25:BD32" si="21">(AW25-AX25)/AX25</f>
        <v>9.7754654983570652E-2</v>
      </c>
      <c r="BC25" s="42">
        <f t="shared" si="21"/>
        <v>9.1126381834478631E-2</v>
      </c>
      <c r="BD25" s="42">
        <f t="shared" si="21"/>
        <v>-4.3167524299599774E-2</v>
      </c>
      <c r="BG25" s="196" t="s">
        <v>309</v>
      </c>
      <c r="BH25" s="194">
        <v>-1617</v>
      </c>
      <c r="BI25" s="194">
        <v>-220</v>
      </c>
      <c r="BJ25" s="194">
        <v>-200</v>
      </c>
      <c r="BK25" s="194">
        <v>-661</v>
      </c>
      <c r="BM25" s="42">
        <f>(BH25-BI25)/BI25</f>
        <v>6.35</v>
      </c>
      <c r="BN25" s="42">
        <f t="shared" si="16"/>
        <v>0.1</v>
      </c>
      <c r="BO25" s="42">
        <f t="shared" si="16"/>
        <v>-0.69742813918305602</v>
      </c>
    </row>
    <row r="26" spans="2:67" ht="17" thickBot="1">
      <c r="B26" s="163" t="s">
        <v>310</v>
      </c>
      <c r="C26" s="164">
        <v>11456</v>
      </c>
      <c r="D26" s="164">
        <v>13612</v>
      </c>
      <c r="E26" s="164">
        <v>13968</v>
      </c>
      <c r="F26" s="164">
        <v>9715</v>
      </c>
      <c r="H26" s="42">
        <f t="shared" si="17"/>
        <v>-0.15838965618571849</v>
      </c>
      <c r="I26" s="42">
        <f t="shared" si="18"/>
        <v>-2.5486827033218785E-2</v>
      </c>
      <c r="J26" s="42">
        <f t="shared" si="19"/>
        <v>0.43777663407102418</v>
      </c>
      <c r="M26" s="163" t="s">
        <v>283</v>
      </c>
      <c r="N26" s="194">
        <v>815</v>
      </c>
      <c r="O26" s="194">
        <v>731</v>
      </c>
      <c r="P26" s="194">
        <v>716</v>
      </c>
      <c r="Q26" s="194">
        <v>825</v>
      </c>
      <c r="S26" s="42">
        <f t="shared" si="20"/>
        <v>0.11491108071135431</v>
      </c>
      <c r="T26" s="42">
        <f t="shared" si="20"/>
        <v>2.094972067039106E-2</v>
      </c>
      <c r="U26" s="42">
        <f t="shared" si="20"/>
        <v>-0.13212121212121211</v>
      </c>
      <c r="Y26" s="199" t="s">
        <v>311</v>
      </c>
      <c r="Z26" s="210">
        <f>71240</f>
        <v>71240</v>
      </c>
      <c r="AA26" s="210">
        <f>69228</f>
        <v>69228</v>
      </c>
      <c r="AB26" s="210">
        <f>62670</f>
        <v>62670</v>
      </c>
      <c r="AC26" s="210">
        <f>61089</f>
        <v>61089</v>
      </c>
      <c r="AE26" s="270">
        <f>(Z26-AA26)/AA26</f>
        <v>2.9063384757612526E-2</v>
      </c>
      <c r="AF26" s="271">
        <f>(AA26-AB26)/AB26</f>
        <v>0.10464337003350886</v>
      </c>
      <c r="AG26" s="272">
        <f>(AB26-AC26)/AC26</f>
        <v>2.5880273044246917E-2</v>
      </c>
      <c r="AJ26" s="199" t="s">
        <v>311</v>
      </c>
      <c r="AK26" s="176">
        <f>363431</f>
        <v>363431</v>
      </c>
      <c r="AL26" s="176">
        <f>355465</f>
        <v>355465</v>
      </c>
      <c r="AM26" s="176">
        <f>314062</f>
        <v>314062</v>
      </c>
      <c r="AN26" s="176">
        <f>267044</f>
        <v>267044</v>
      </c>
      <c r="AP26" s="270">
        <f>(AK26-AL26)/AL26</f>
        <v>2.2410082567904013E-2</v>
      </c>
      <c r="AQ26" s="271">
        <f>(AL26-AM26)/AM26</f>
        <v>0.13183065764084798</v>
      </c>
      <c r="AR26" s="272">
        <f>(AM26-AN26)/AN26</f>
        <v>0.17606836326597863</v>
      </c>
      <c r="AV26" s="196" t="s">
        <v>312</v>
      </c>
      <c r="AW26" s="194">
        <v>543</v>
      </c>
      <c r="AX26" s="194">
        <v>711</v>
      </c>
      <c r="AY26" s="194">
        <v>305</v>
      </c>
      <c r="AZ26" s="194">
        <v>3265</v>
      </c>
      <c r="BB26" s="42">
        <f t="shared" si="21"/>
        <v>-0.23628691983122363</v>
      </c>
      <c r="BC26" s="42">
        <f t="shared" si="21"/>
        <v>1.3311475409836067</v>
      </c>
      <c r="BD26" s="42">
        <f t="shared" si="21"/>
        <v>-0.90658499234303214</v>
      </c>
      <c r="BG26" s="199" t="s">
        <v>313</v>
      </c>
      <c r="BH26" s="210">
        <f>SUM(BH21:BH25)</f>
        <v>34963</v>
      </c>
      <c r="BI26" s="210">
        <f>SUM(BI21:BI25)</f>
        <v>-8623</v>
      </c>
      <c r="BJ26" s="210">
        <f>SUM(BJ21:BJ25)</f>
        <v>36696</v>
      </c>
      <c r="BK26" s="210">
        <f>SUM(BK21:BK25)</f>
        <v>11007</v>
      </c>
      <c r="BM26" s="270">
        <f>(BH26-BI26)/BI26</f>
        <v>-5.0546213614751245</v>
      </c>
      <c r="BN26" s="271">
        <f t="shared" si="16"/>
        <v>-1.2349847394811424</v>
      </c>
      <c r="BO26" s="272">
        <f t="shared" si="16"/>
        <v>2.3338784409920961</v>
      </c>
    </row>
    <row r="27" spans="2:67" ht="17" thickBot="1">
      <c r="B27" s="163" t="s">
        <v>314</v>
      </c>
      <c r="C27" s="164">
        <v>14417</v>
      </c>
      <c r="D27" s="164">
        <v>12095</v>
      </c>
      <c r="E27" s="164">
        <v>11513</v>
      </c>
      <c r="F27" s="164">
        <v>10883</v>
      </c>
      <c r="H27" s="42">
        <f t="shared" si="17"/>
        <v>0.19198015708970648</v>
      </c>
      <c r="I27" s="42">
        <f t="shared" si="18"/>
        <v>5.0551550421262921E-2</v>
      </c>
      <c r="J27" s="42">
        <f t="shared" si="19"/>
        <v>5.7888449875953318E-2</v>
      </c>
      <c r="M27" s="168" t="s">
        <v>315</v>
      </c>
      <c r="N27" s="205">
        <f>SUM(N24:N26)</f>
        <v>63580</v>
      </c>
      <c r="O27" s="205">
        <f>SUM(O24:O26)</f>
        <v>48477</v>
      </c>
      <c r="P27" s="205">
        <f>SUM(P24:P26)</f>
        <v>54070</v>
      </c>
      <c r="Q27" s="205">
        <f>SUM(Q24:Q26)</f>
        <v>38690</v>
      </c>
      <c r="S27" s="269">
        <f t="shared" si="20"/>
        <v>0.31154980712502839</v>
      </c>
      <c r="T27" s="269">
        <f t="shared" si="20"/>
        <v>-0.10343998520436472</v>
      </c>
      <c r="U27" s="269">
        <f t="shared" si="20"/>
        <v>0.39751873869216853</v>
      </c>
      <c r="Y27" s="200"/>
      <c r="Z27" s="185"/>
      <c r="AA27" s="185"/>
      <c r="AB27" s="185"/>
      <c r="AC27" s="185"/>
      <c r="AE27" s="42"/>
      <c r="AF27" s="42"/>
      <c r="AG27" s="42"/>
      <c r="AJ27" s="200"/>
      <c r="AK27" s="185"/>
      <c r="AL27" s="185"/>
      <c r="AM27" s="185"/>
      <c r="AN27" s="185"/>
      <c r="AP27" s="42"/>
      <c r="AQ27" s="42"/>
      <c r="AR27" s="42"/>
      <c r="AV27" s="196" t="s">
        <v>316</v>
      </c>
      <c r="AW27" s="194">
        <v>-17652</v>
      </c>
      <c r="AX27" s="194">
        <v>-60</v>
      </c>
      <c r="AY27" s="194">
        <v>-7323</v>
      </c>
      <c r="AZ27" s="194">
        <v>-5810</v>
      </c>
      <c r="BB27" s="42">
        <f t="shared" si="21"/>
        <v>293.2</v>
      </c>
      <c r="BC27" s="42">
        <f t="shared" si="21"/>
        <v>-0.99180663662433433</v>
      </c>
      <c r="BD27" s="42">
        <f t="shared" si="21"/>
        <v>0.26041308089500859</v>
      </c>
      <c r="BG27" s="200" t="s">
        <v>317</v>
      </c>
      <c r="BH27" s="194"/>
      <c r="BI27" s="194"/>
      <c r="BJ27" s="194"/>
      <c r="BK27" s="194"/>
      <c r="BM27" s="42"/>
      <c r="BN27" s="42"/>
      <c r="BO27" s="42"/>
    </row>
    <row r="28" spans="2:67" ht="16">
      <c r="B28" s="163" t="s">
        <v>318</v>
      </c>
      <c r="C28" s="164">
        <v>3328</v>
      </c>
      <c r="D28" s="164">
        <v>3586</v>
      </c>
      <c r="E28" s="164">
        <v>3484</v>
      </c>
      <c r="F28" s="164">
        <v>3354</v>
      </c>
      <c r="H28" s="42">
        <f t="shared" si="17"/>
        <v>-7.1946458449525935E-2</v>
      </c>
      <c r="I28" s="42">
        <f t="shared" si="18"/>
        <v>2.9276693455797934E-2</v>
      </c>
      <c r="J28" s="42">
        <f t="shared" si="19"/>
        <v>3.875968992248062E-2</v>
      </c>
      <c r="M28" s="171" t="s">
        <v>319</v>
      </c>
      <c r="N28" s="194"/>
      <c r="O28" s="194"/>
      <c r="P28" s="194"/>
      <c r="Q28" s="194"/>
      <c r="S28" s="42"/>
      <c r="T28" s="42"/>
      <c r="U28" s="42"/>
      <c r="Y28" s="200" t="s">
        <v>320</v>
      </c>
      <c r="Z28" s="185">
        <f>Z19</f>
        <v>17941</v>
      </c>
      <c r="AA28" s="185">
        <f>AA19</f>
        <v>20878</v>
      </c>
      <c r="AB28" s="185">
        <f>AB19</f>
        <v>14714</v>
      </c>
      <c r="AC28" s="185">
        <f>AC19</f>
        <v>15119</v>
      </c>
      <c r="AE28" s="275">
        <f t="shared" ref="AE28:AG32" si="22">(Z28-AA28)/AA28</f>
        <v>-0.14067439409905164</v>
      </c>
      <c r="AF28" s="275">
        <f t="shared" si="22"/>
        <v>0.41892075574282994</v>
      </c>
      <c r="AG28" s="275">
        <f t="shared" si="22"/>
        <v>-2.6787485944837621E-2</v>
      </c>
      <c r="AJ28" s="200" t="s">
        <v>320</v>
      </c>
      <c r="AK28" s="185">
        <f>AK19</f>
        <v>-49019</v>
      </c>
      <c r="AL28" s="185">
        <f>AL19</f>
        <v>-38679</v>
      </c>
      <c r="AM28" s="185">
        <f>AM19</f>
        <v>-14466</v>
      </c>
      <c r="AN28" s="185">
        <f>AN19</f>
        <v>-31083</v>
      </c>
      <c r="AP28" s="42">
        <f t="shared" ref="AP28:AR29" si="23">(AK28-AL28)/AL28</f>
        <v>0.26732852452235062</v>
      </c>
      <c r="AQ28" s="42">
        <f t="shared" si="23"/>
        <v>1.6737868104520945</v>
      </c>
      <c r="AR28" s="42">
        <f t="shared" si="23"/>
        <v>-0.53460090724833509</v>
      </c>
      <c r="AV28" s="196" t="s">
        <v>321</v>
      </c>
      <c r="AW28" s="194">
        <v>-32384</v>
      </c>
      <c r="AX28" s="194">
        <v>-30394</v>
      </c>
      <c r="AY28" s="194">
        <v>-21089</v>
      </c>
      <c r="AZ28" s="194">
        <v>-3920</v>
      </c>
      <c r="BB28" s="42">
        <f t="shared" si="21"/>
        <v>6.5473448706981643E-2</v>
      </c>
      <c r="BC28" s="42">
        <f t="shared" si="21"/>
        <v>0.44122528332305944</v>
      </c>
      <c r="BD28" s="42">
        <f t="shared" si="21"/>
        <v>4.3798469387755103</v>
      </c>
      <c r="BG28" t="s">
        <v>322</v>
      </c>
      <c r="BH28" s="194" t="s">
        <v>49</v>
      </c>
      <c r="BI28" s="194">
        <v>96517</v>
      </c>
      <c r="BJ28" s="194" t="s">
        <v>49</v>
      </c>
      <c r="BK28" s="194" t="s">
        <v>49</v>
      </c>
      <c r="BM28" s="42"/>
      <c r="BN28" s="42"/>
      <c r="BO28" s="42"/>
    </row>
    <row r="29" spans="2:67" ht="16">
      <c r="B29" s="163" t="s">
        <v>323</v>
      </c>
      <c r="C29" s="164">
        <v>2127</v>
      </c>
      <c r="D29" s="164">
        <v>1112</v>
      </c>
      <c r="E29" s="164">
        <v>1392</v>
      </c>
      <c r="F29" s="164">
        <v>2266</v>
      </c>
      <c r="H29" s="42">
        <f t="shared" si="17"/>
        <v>0.91276978417266186</v>
      </c>
      <c r="I29" s="42">
        <f t="shared" si="18"/>
        <v>-0.20114942528735633</v>
      </c>
      <c r="J29" s="42">
        <f t="shared" si="19"/>
        <v>-0.38570167696381291</v>
      </c>
      <c r="M29" s="163" t="s">
        <v>324</v>
      </c>
      <c r="N29" s="195" t="s">
        <v>49</v>
      </c>
      <c r="O29" s="194">
        <v>37527</v>
      </c>
      <c r="P29" s="194">
        <v>38426</v>
      </c>
      <c r="Q29" s="194">
        <v>39212</v>
      </c>
      <c r="S29" s="42"/>
      <c r="T29" s="42">
        <f>(O29-P29)/P29</f>
        <v>-2.3395617550616771E-2</v>
      </c>
      <c r="U29" s="42">
        <f>(P29-Q29)/Q29</f>
        <v>-2.0044884219116595E-2</v>
      </c>
      <c r="Y29" s="200" t="s">
        <v>325</v>
      </c>
      <c r="Z29" s="185">
        <f>18206</f>
        <v>18206</v>
      </c>
      <c r="AA29" s="1">
        <f>21934</f>
        <v>21934</v>
      </c>
      <c r="AB29" s="1">
        <f>14714</f>
        <v>14714</v>
      </c>
      <c r="AC29" s="1">
        <f>15119</f>
        <v>15119</v>
      </c>
      <c r="AE29" s="275">
        <f t="shared" si="22"/>
        <v>-0.16996443877085804</v>
      </c>
      <c r="AF29" s="275">
        <f t="shared" si="22"/>
        <v>0.49068913959494359</v>
      </c>
      <c r="AG29" s="275">
        <f t="shared" si="22"/>
        <v>-2.6787485944837621E-2</v>
      </c>
      <c r="AJ29" s="200" t="s">
        <v>325</v>
      </c>
      <c r="AK29" s="185">
        <f>AK28</f>
        <v>-49019</v>
      </c>
      <c r="AL29" s="185">
        <f>AL28</f>
        <v>-38679</v>
      </c>
      <c r="AM29" s="185">
        <f>AM28</f>
        <v>-14466</v>
      </c>
      <c r="AN29" s="185">
        <f>AN28</f>
        <v>-31083</v>
      </c>
      <c r="AP29" s="42">
        <f t="shared" si="23"/>
        <v>0.26732852452235062</v>
      </c>
      <c r="AQ29" s="42">
        <f t="shared" si="23"/>
        <v>1.6737868104520945</v>
      </c>
      <c r="AR29" s="42">
        <f t="shared" si="23"/>
        <v>-0.53460090724833509</v>
      </c>
      <c r="AV29" s="196" t="s">
        <v>326</v>
      </c>
      <c r="AW29" s="194">
        <v>41609</v>
      </c>
      <c r="AX29" s="194">
        <v>25006</v>
      </c>
      <c r="AY29" s="194">
        <v>12137</v>
      </c>
      <c r="AZ29" s="194">
        <v>3387</v>
      </c>
      <c r="BB29" s="42">
        <f t="shared" si="21"/>
        <v>0.66396064944413336</v>
      </c>
      <c r="BC29" s="42">
        <f t="shared" si="21"/>
        <v>1.0603114443437422</v>
      </c>
      <c r="BD29" s="42">
        <f t="shared" si="21"/>
        <v>2.5834071449660465</v>
      </c>
      <c r="BG29" t="s">
        <v>327</v>
      </c>
      <c r="BH29" s="194" t="s">
        <v>49</v>
      </c>
      <c r="BI29" s="194">
        <v>-35000</v>
      </c>
      <c r="BJ29" s="194" t="s">
        <v>49</v>
      </c>
      <c r="BK29" s="194" t="s">
        <v>49</v>
      </c>
      <c r="BM29" s="42"/>
      <c r="BN29" s="42"/>
      <c r="BO29" s="42"/>
    </row>
    <row r="30" spans="2:67" ht="17" thickBot="1">
      <c r="B30" s="208" t="s">
        <v>315</v>
      </c>
      <c r="C30" s="169">
        <f>SUM(C24:C29)</f>
        <v>55802</v>
      </c>
      <c r="D30" s="169">
        <f>SUM(D24:D29)</f>
        <v>45226</v>
      </c>
      <c r="E30" s="169">
        <f>SUM(E24:E29)</f>
        <v>42493</v>
      </c>
      <c r="F30" s="169">
        <f>SUM(F24:F29)</f>
        <v>35964</v>
      </c>
      <c r="H30" s="269">
        <f t="shared" si="17"/>
        <v>0.23384778667138373</v>
      </c>
      <c r="I30" s="269">
        <f t="shared" si="18"/>
        <v>6.4316475654813729E-2</v>
      </c>
      <c r="J30" s="269">
        <f t="shared" si="19"/>
        <v>0.18154265376487599</v>
      </c>
      <c r="M30" s="163" t="s">
        <v>328</v>
      </c>
      <c r="N30" s="194">
        <v>29842</v>
      </c>
      <c r="O30" s="195" t="s">
        <v>49</v>
      </c>
      <c r="P30" s="195" t="s">
        <v>49</v>
      </c>
      <c r="Q30" s="195" t="s">
        <v>49</v>
      </c>
      <c r="S30" s="42"/>
      <c r="T30" s="42"/>
      <c r="U30" s="42"/>
      <c r="Y30" s="200" t="s">
        <v>329</v>
      </c>
      <c r="Z30" s="1">
        <v>490</v>
      </c>
      <c r="AA30" s="1">
        <v>53</v>
      </c>
      <c r="AB30" s="1">
        <v>111</v>
      </c>
      <c r="AC30" s="1">
        <v>357</v>
      </c>
      <c r="AE30" s="275">
        <f t="shared" si="22"/>
        <v>8.2452830188679247</v>
      </c>
      <c r="AF30" s="275">
        <f t="shared" si="22"/>
        <v>-0.52252252252252251</v>
      </c>
      <c r="AG30" s="275">
        <f t="shared" si="22"/>
        <v>-0.68907563025210083</v>
      </c>
      <c r="AJ30" s="200" t="s">
        <v>329</v>
      </c>
      <c r="AK30" s="122" t="s">
        <v>49</v>
      </c>
      <c r="AL30" s="1">
        <v>494</v>
      </c>
      <c r="AM30" s="122" t="s">
        <v>49</v>
      </c>
      <c r="AN30" s="122" t="s">
        <v>49</v>
      </c>
      <c r="AP30" s="42"/>
      <c r="AQ30" s="42"/>
      <c r="AR30" s="42"/>
      <c r="AV30" s="196" t="s">
        <v>330</v>
      </c>
      <c r="AW30" s="194">
        <v>-249</v>
      </c>
      <c r="AX30" s="194">
        <v>214</v>
      </c>
      <c r="AY30" s="194">
        <v>-987</v>
      </c>
      <c r="AZ30" s="194">
        <v>338</v>
      </c>
      <c r="BB30" s="42">
        <f t="shared" si="21"/>
        <v>-2.1635514018691588</v>
      </c>
      <c r="BC30" s="42">
        <f t="shared" si="21"/>
        <v>-1.2168186423505571</v>
      </c>
      <c r="BD30" s="42">
        <f t="shared" si="21"/>
        <v>-3.9201183431952664</v>
      </c>
      <c r="BG30" s="196" t="s">
        <v>331</v>
      </c>
      <c r="BH30" s="194">
        <v>122</v>
      </c>
      <c r="BI30" s="10">
        <v>5730</v>
      </c>
      <c r="BJ30" s="194">
        <v>41</v>
      </c>
      <c r="BK30" s="194">
        <v>252</v>
      </c>
      <c r="BM30" s="42">
        <f>(BH30-BI30)/BI30</f>
        <v>-0.97870855148342062</v>
      </c>
      <c r="BN30" s="42">
        <f>(BI30-BJ30)/BJ30</f>
        <v>138.7560975609756</v>
      </c>
      <c r="BO30" s="42">
        <f>(BJ30-BK30)/BK30</f>
        <v>-0.83730158730158732</v>
      </c>
    </row>
    <row r="31" spans="2:67" ht="17" thickBot="1">
      <c r="B31" s="163" t="s">
        <v>332</v>
      </c>
      <c r="C31" s="164">
        <v>26888</v>
      </c>
      <c r="D31" s="164">
        <v>29985</v>
      </c>
      <c r="E31" s="164">
        <v>32635</v>
      </c>
      <c r="F31" s="164">
        <v>26494</v>
      </c>
      <c r="H31" s="42">
        <f t="shared" si="17"/>
        <v>-0.10328497582124395</v>
      </c>
      <c r="I31" s="42">
        <f t="shared" si="18"/>
        <v>-8.1201164394055461E-2</v>
      </c>
      <c r="J31" s="42">
        <f t="shared" si="19"/>
        <v>0.2317883294330792</v>
      </c>
      <c r="M31" s="163" t="s">
        <v>333</v>
      </c>
      <c r="N31" s="194">
        <v>817</v>
      </c>
      <c r="O31" s="194">
        <v>7487</v>
      </c>
      <c r="P31" s="194">
        <v>8657</v>
      </c>
      <c r="Q31" s="194">
        <v>9993</v>
      </c>
      <c r="S31" s="42">
        <f t="shared" ref="S31:U32" si="24">(N31-O31)/O31</f>
        <v>-0.89087752103646323</v>
      </c>
      <c r="T31" s="42">
        <f t="shared" si="24"/>
        <v>-0.13515074506179969</v>
      </c>
      <c r="U31" s="42">
        <f t="shared" si="24"/>
        <v>-0.13369358550985691</v>
      </c>
      <c r="Y31" s="200" t="s">
        <v>334</v>
      </c>
      <c r="Z31" s="1">
        <v>-276</v>
      </c>
      <c r="AA31" s="1">
        <v>-183</v>
      </c>
      <c r="AB31" s="1">
        <v>-201</v>
      </c>
      <c r="AC31" s="1">
        <v>-318</v>
      </c>
      <c r="AE31" s="275">
        <f t="shared" si="22"/>
        <v>0.50819672131147542</v>
      </c>
      <c r="AF31" s="275">
        <f t="shared" si="22"/>
        <v>-8.9552238805970144E-2</v>
      </c>
      <c r="AG31" s="275">
        <f t="shared" si="22"/>
        <v>-0.36792452830188677</v>
      </c>
      <c r="AJ31" s="200" t="s">
        <v>334</v>
      </c>
      <c r="AK31" s="122" t="s">
        <v>49</v>
      </c>
      <c r="AL31" s="122" t="s">
        <v>49</v>
      </c>
      <c r="AM31" s="122" t="s">
        <v>49</v>
      </c>
      <c r="AN31" s="122" t="s">
        <v>49</v>
      </c>
      <c r="AP31" s="42"/>
      <c r="AQ31" s="42"/>
      <c r="AR31" s="42"/>
      <c r="AV31" s="196" t="s">
        <v>335</v>
      </c>
      <c r="AW31" s="194">
        <v>-229</v>
      </c>
      <c r="AX31" s="194">
        <v>-508</v>
      </c>
      <c r="AY31" s="194">
        <v>-521</v>
      </c>
      <c r="AZ31" s="194">
        <v>44</v>
      </c>
      <c r="BB31" s="42">
        <f t="shared" si="21"/>
        <v>-0.54921259842519687</v>
      </c>
      <c r="BC31" s="42">
        <f t="shared" si="21"/>
        <v>-2.4952015355086371E-2</v>
      </c>
      <c r="BD31" s="42">
        <f t="shared" si="21"/>
        <v>-12.840909090909092</v>
      </c>
      <c r="BG31" s="196" t="s">
        <v>336</v>
      </c>
      <c r="BH31" s="194" t="s">
        <v>49</v>
      </c>
      <c r="BI31" s="194">
        <v>-5477</v>
      </c>
      <c r="BJ31" t="s">
        <v>49</v>
      </c>
      <c r="BK31" t="s">
        <v>49</v>
      </c>
      <c r="BM31" s="42"/>
      <c r="BN31" s="42"/>
      <c r="BO31" s="42"/>
    </row>
    <row r="32" spans="2:67" ht="17" thickBot="1">
      <c r="B32" s="163" t="s">
        <v>284</v>
      </c>
      <c r="C32" s="164">
        <v>6374</v>
      </c>
      <c r="D32" s="164">
        <v>7487</v>
      </c>
      <c r="E32" s="164">
        <v>7214</v>
      </c>
      <c r="F32" s="164">
        <v>5958</v>
      </c>
      <c r="H32" s="42">
        <f t="shared" si="17"/>
        <v>-0.14865767330038734</v>
      </c>
      <c r="I32" s="42">
        <f t="shared" si="18"/>
        <v>3.7843082894372056E-2</v>
      </c>
      <c r="J32" s="42">
        <f t="shared" si="19"/>
        <v>0.21080899630748573</v>
      </c>
      <c r="M32" s="167" t="s">
        <v>337</v>
      </c>
      <c r="N32" s="206">
        <f>SUM(N27:N31)</f>
        <v>94239</v>
      </c>
      <c r="O32" s="206">
        <f>SUM(O27:O31)</f>
        <v>93491</v>
      </c>
      <c r="P32" s="206">
        <f>SUM(P27:P31)</f>
        <v>101153</v>
      </c>
      <c r="Q32" s="206">
        <f>SUM(Q27:Q31)</f>
        <v>87895</v>
      </c>
      <c r="S32" s="174">
        <f t="shared" si="24"/>
        <v>8.0007701276058659E-3</v>
      </c>
      <c r="T32" s="174">
        <f t="shared" si="24"/>
        <v>-7.5746641226656655E-2</v>
      </c>
      <c r="U32" s="174">
        <f t="shared" si="24"/>
        <v>0.15083906934410377</v>
      </c>
      <c r="Y32" s="200" t="s">
        <v>338</v>
      </c>
      <c r="Z32" s="1">
        <v>214</v>
      </c>
      <c r="AA32" s="1">
        <v>-130</v>
      </c>
      <c r="AB32" s="1">
        <v>-90</v>
      </c>
      <c r="AC32" s="1">
        <v>39</v>
      </c>
      <c r="AE32" s="275">
        <f t="shared" si="22"/>
        <v>-2.6461538461538461</v>
      </c>
      <c r="AF32" s="275">
        <f t="shared" si="22"/>
        <v>0.44444444444444442</v>
      </c>
      <c r="AG32" s="275">
        <f t="shared" si="22"/>
        <v>-3.3076923076923075</v>
      </c>
      <c r="AJ32" s="200" t="s">
        <v>338</v>
      </c>
      <c r="AK32" s="1">
        <v>871</v>
      </c>
      <c r="AL32" s="185">
        <v>-1776</v>
      </c>
      <c r="AM32" s="1">
        <v>-837</v>
      </c>
      <c r="AN32" s="1">
        <v>429</v>
      </c>
      <c r="AP32" s="42">
        <f>(AK32-AL32)/AL32</f>
        <v>-1.490427927927928</v>
      </c>
      <c r="AQ32" s="42">
        <f>(AL32-AM32)/AM32</f>
        <v>1.1218637992831542</v>
      </c>
      <c r="AR32" s="42">
        <f>(AM32-AN32)/AN32</f>
        <v>-2.9510489510489513</v>
      </c>
      <c r="AV32" s="199" t="s">
        <v>313</v>
      </c>
      <c r="AW32" s="181">
        <f>SUM(AW25:AW31)</f>
        <v>-12371</v>
      </c>
      <c r="AX32" s="181">
        <f>SUM(AX25:AX31)</f>
        <v>-8683</v>
      </c>
      <c r="AY32" s="181">
        <f>SUM(AY25:AY31)</f>
        <v>-20825</v>
      </c>
      <c r="AZ32" s="181">
        <f>SUM(AZ25:AZ31)</f>
        <v>-6194</v>
      </c>
      <c r="BB32" s="270">
        <f t="shared" si="21"/>
        <v>0.42473799378095128</v>
      </c>
      <c r="BC32" s="271">
        <f t="shared" si="21"/>
        <v>-0.58304921968787515</v>
      </c>
      <c r="BD32" s="272">
        <f t="shared" si="21"/>
        <v>2.3621246367452375</v>
      </c>
      <c r="BG32" s="196" t="s">
        <v>339</v>
      </c>
      <c r="BH32" s="194">
        <v>-37</v>
      </c>
      <c r="BI32" s="194">
        <v>-567</v>
      </c>
      <c r="BJ32" s="194" t="s">
        <v>49</v>
      </c>
      <c r="BK32" s="194" t="s">
        <v>49</v>
      </c>
      <c r="BM32" s="42">
        <f>(BH32-BI32)/BI32</f>
        <v>-0.93474426807760136</v>
      </c>
      <c r="BN32" s="42"/>
      <c r="BO32" s="42"/>
    </row>
    <row r="33" spans="2:67" ht="16">
      <c r="B33" s="163" t="s">
        <v>340</v>
      </c>
      <c r="C33" s="164">
        <v>6767</v>
      </c>
      <c r="D33" s="164">
        <v>8898</v>
      </c>
      <c r="E33" s="164">
        <v>10771</v>
      </c>
      <c r="F33" s="164">
        <v>10663</v>
      </c>
      <c r="H33" s="42">
        <f t="shared" si="17"/>
        <v>-0.23949202067880423</v>
      </c>
      <c r="I33" s="42">
        <f t="shared" si="18"/>
        <v>-0.17389286045863894</v>
      </c>
      <c r="J33" s="42">
        <f t="shared" si="19"/>
        <v>1.012848166557254E-2</v>
      </c>
      <c r="M33" s="163" t="s">
        <v>341</v>
      </c>
      <c r="N33" s="194"/>
      <c r="O33" s="194"/>
      <c r="P33" s="194"/>
      <c r="Q33" s="194"/>
      <c r="S33" s="42"/>
      <c r="T33" s="42"/>
      <c r="U33" s="42"/>
      <c r="Y33" s="200"/>
      <c r="Z33" s="1"/>
      <c r="AA33" s="1"/>
      <c r="AB33" s="1"/>
      <c r="AC33" s="1"/>
      <c r="AE33" s="275"/>
      <c r="AF33" s="275"/>
      <c r="AG33" s="275"/>
      <c r="AJ33" s="200"/>
      <c r="AK33" s="1"/>
      <c r="AL33" s="1"/>
      <c r="AM33" s="1"/>
      <c r="AN33" s="1"/>
      <c r="AP33" s="42"/>
      <c r="AQ33" s="42"/>
      <c r="AR33" s="42"/>
      <c r="AV33" s="200" t="s">
        <v>317</v>
      </c>
      <c r="AW33" s="194"/>
      <c r="AX33" s="194"/>
      <c r="AY33" s="194"/>
      <c r="AZ33" s="194"/>
      <c r="BB33" s="42"/>
      <c r="BC33" s="42"/>
      <c r="BD33" s="42"/>
      <c r="BG33" s="196" t="s">
        <v>342</v>
      </c>
      <c r="BH33" s="194">
        <v>256</v>
      </c>
      <c r="BI33">
        <v>291</v>
      </c>
      <c r="BJ33" s="194" t="s">
        <v>49</v>
      </c>
      <c r="BK33" s="194" t="s">
        <v>49</v>
      </c>
      <c r="BM33" s="42">
        <f>(BH33-BI33)/BI33</f>
        <v>-0.12027491408934708</v>
      </c>
      <c r="BN33" s="42"/>
      <c r="BO33" s="42"/>
    </row>
    <row r="34" spans="2:67" ht="16">
      <c r="B34" s="163" t="s">
        <v>343</v>
      </c>
      <c r="C34" s="164">
        <v>4306</v>
      </c>
      <c r="D34" s="164">
        <v>5713</v>
      </c>
      <c r="E34" s="164">
        <v>6559</v>
      </c>
      <c r="F34" s="164">
        <v>7444</v>
      </c>
      <c r="H34" s="42">
        <f t="shared" si="17"/>
        <v>-0.2462804130929459</v>
      </c>
      <c r="I34" s="42">
        <f t="shared" si="18"/>
        <v>-0.1289830766885196</v>
      </c>
      <c r="J34" s="42">
        <f t="shared" si="19"/>
        <v>-0.11888769478774852</v>
      </c>
      <c r="M34" s="163" t="s">
        <v>344</v>
      </c>
      <c r="N34" s="194"/>
      <c r="O34" s="194"/>
      <c r="P34" s="194">
        <v>376404</v>
      </c>
      <c r="Q34" s="194">
        <v>376404</v>
      </c>
      <c r="S34" s="42"/>
      <c r="T34" s="42">
        <f>(O34-P34)/P34</f>
        <v>-1</v>
      </c>
      <c r="U34" s="42">
        <f>(P34-Q34)/Q34</f>
        <v>0</v>
      </c>
      <c r="Y34" s="200" t="s">
        <v>345</v>
      </c>
      <c r="Z34" s="1">
        <v>24780</v>
      </c>
      <c r="AA34" s="1">
        <v>24481</v>
      </c>
      <c r="AB34" s="1">
        <v>20468</v>
      </c>
      <c r="AC34" s="1">
        <v>21550</v>
      </c>
      <c r="AE34" s="275">
        <f t="shared" ref="AE34:AG36" si="25">(Z34-AA34)/AA34</f>
        <v>1.2213553367917978E-2</v>
      </c>
      <c r="AF34" s="275">
        <f t="shared" si="25"/>
        <v>0.19606214578854797</v>
      </c>
      <c r="AG34" s="275">
        <f t="shared" si="25"/>
        <v>-5.0208816705336425E-2</v>
      </c>
      <c r="AJ34" s="200" t="s">
        <v>345</v>
      </c>
      <c r="AK34" s="185">
        <v>-40431</v>
      </c>
      <c r="AL34" s="185">
        <v>-36826</v>
      </c>
      <c r="AM34" s="185">
        <v>-13540</v>
      </c>
      <c r="AN34" s="185">
        <v>-31457</v>
      </c>
      <c r="AP34" s="42">
        <f t="shared" ref="AP34:AR35" si="26">(AK34-AL34)/AL34</f>
        <v>9.7892793135284858E-2</v>
      </c>
      <c r="AQ34" s="42">
        <f t="shared" si="26"/>
        <v>1.7197932053175775</v>
      </c>
      <c r="AR34" s="42">
        <f t="shared" si="26"/>
        <v>-0.56957116063197377</v>
      </c>
      <c r="AV34" s="196" t="s">
        <v>346</v>
      </c>
      <c r="AW34" s="194">
        <v>-11682</v>
      </c>
      <c r="AX34" s="194">
        <v>-11032</v>
      </c>
      <c r="AY34" s="194">
        <v>-10481</v>
      </c>
      <c r="AZ34" s="194">
        <v>-9917</v>
      </c>
      <c r="BB34" s="42">
        <f t="shared" ref="BB34:BB43" si="27">(AW34-AX34)/AX34</f>
        <v>5.8919506889050038E-2</v>
      </c>
      <c r="BC34" s="42">
        <f t="shared" ref="BC34:BC43" si="28">(AX34-AY34)/AY34</f>
        <v>5.2571319530579141E-2</v>
      </c>
      <c r="BD34" s="42">
        <f t="shared" ref="BD34:BD43" si="29">(AY34-AZ34)/AZ34</f>
        <v>5.6872037914691941E-2</v>
      </c>
      <c r="BG34" s="196" t="s">
        <v>347</v>
      </c>
      <c r="BH34" s="194" t="s">
        <v>49</v>
      </c>
      <c r="BI34" t="s">
        <v>49</v>
      </c>
      <c r="BJ34" s="194" t="s">
        <v>49</v>
      </c>
      <c r="BK34" s="194">
        <v>-285</v>
      </c>
      <c r="BM34" s="42"/>
      <c r="BN34" s="42"/>
      <c r="BO34" s="42"/>
    </row>
    <row r="35" spans="2:67" ht="17" thickBot="1">
      <c r="B35" s="163" t="s">
        <v>348</v>
      </c>
      <c r="C35" s="164">
        <v>10437</v>
      </c>
      <c r="D35" s="164">
        <v>10686</v>
      </c>
      <c r="E35" s="164">
        <v>11944</v>
      </c>
      <c r="F35" s="164">
        <v>11734</v>
      </c>
      <c r="H35" s="42">
        <f t="shared" si="17"/>
        <v>-2.330151600224593E-2</v>
      </c>
      <c r="I35" s="42">
        <f t="shared" si="18"/>
        <v>-0.10532484929671802</v>
      </c>
      <c r="J35" s="42">
        <f t="shared" si="19"/>
        <v>1.7896710414181012E-2</v>
      </c>
      <c r="M35" s="171" t="s">
        <v>349</v>
      </c>
      <c r="N35" s="194"/>
      <c r="O35" s="194"/>
      <c r="P35" s="194"/>
      <c r="Q35" s="194"/>
      <c r="S35" s="42"/>
      <c r="T35" s="42"/>
      <c r="U35" s="42"/>
      <c r="Y35" s="200" t="s">
        <v>350</v>
      </c>
      <c r="Z35" s="1">
        <v>31750</v>
      </c>
      <c r="AA35" s="1">
        <v>31871</v>
      </c>
      <c r="AB35" s="1">
        <v>27699</v>
      </c>
      <c r="AC35" s="1">
        <v>28559</v>
      </c>
      <c r="AE35" s="275">
        <f t="shared" si="25"/>
        <v>-3.7965548617865772E-3</v>
      </c>
      <c r="AF35" s="275">
        <f t="shared" si="25"/>
        <v>0.15061915592620673</v>
      </c>
      <c r="AG35" s="275">
        <f t="shared" si="25"/>
        <v>-3.0113099198151194E-2</v>
      </c>
      <c r="AJ35" s="200" t="s">
        <v>350</v>
      </c>
      <c r="AK35" s="185">
        <v>-37678</v>
      </c>
      <c r="AL35" s="185">
        <v>-32680</v>
      </c>
      <c r="AM35" s="185">
        <v>-8686</v>
      </c>
      <c r="AN35" s="185">
        <v>-23785</v>
      </c>
      <c r="AP35" s="42">
        <f t="shared" si="26"/>
        <v>0.15293757649938799</v>
      </c>
      <c r="AQ35" s="42">
        <f t="shared" si="26"/>
        <v>2.7623762376237622</v>
      </c>
      <c r="AR35" s="42">
        <f t="shared" si="26"/>
        <v>-0.63481185621189828</v>
      </c>
      <c r="AV35" s="196" t="s">
        <v>351</v>
      </c>
      <c r="AW35" s="194">
        <v>-6035</v>
      </c>
      <c r="AX35" s="194">
        <v>-3456</v>
      </c>
      <c r="AY35" s="194">
        <v>-3221</v>
      </c>
      <c r="AZ35" s="194">
        <v>-6746</v>
      </c>
      <c r="BB35" s="42">
        <f t="shared" si="27"/>
        <v>0.74623842592592593</v>
      </c>
      <c r="BC35" s="42">
        <f t="shared" si="28"/>
        <v>7.2958708475628686E-2</v>
      </c>
      <c r="BD35" s="42">
        <f t="shared" si="29"/>
        <v>-0.52253187073821528</v>
      </c>
      <c r="BG35" s="196" t="s">
        <v>352</v>
      </c>
      <c r="BH35" s="194">
        <v>-303</v>
      </c>
      <c r="BI35" s="194">
        <v>-1126</v>
      </c>
      <c r="BJ35" s="194">
        <v>-1014</v>
      </c>
      <c r="BK35" s="194">
        <v>-272</v>
      </c>
      <c r="BM35" s="42">
        <f t="shared" ref="BM35:BO36" si="30">(BH35-BI35)/BI35</f>
        <v>-0.73090586145648317</v>
      </c>
      <c r="BN35" s="42">
        <f t="shared" si="30"/>
        <v>0.11045364891518737</v>
      </c>
      <c r="BO35" s="42">
        <f t="shared" si="30"/>
        <v>2.7279411764705883</v>
      </c>
    </row>
    <row r="36" spans="2:67" ht="17" thickBot="1">
      <c r="B36" s="167" t="s">
        <v>337</v>
      </c>
      <c r="C36" s="206">
        <f>SUM(C30:C35)</f>
        <v>110574</v>
      </c>
      <c r="D36" s="206">
        <f>SUM(D30:D35)</f>
        <v>107995</v>
      </c>
      <c r="E36" s="206">
        <f>SUM(E30:E35)</f>
        <v>111616</v>
      </c>
      <c r="F36" s="206">
        <f>SUM(F30:F35)</f>
        <v>98257</v>
      </c>
      <c r="H36" s="174">
        <f t="shared" si="17"/>
        <v>2.3880735219223112E-2</v>
      </c>
      <c r="I36" s="174">
        <f t="shared" si="18"/>
        <v>-3.2441585435779817E-2</v>
      </c>
      <c r="J36" s="174">
        <f t="shared" si="19"/>
        <v>0.13595977894704703</v>
      </c>
      <c r="M36" s="163" t="s">
        <v>353</v>
      </c>
      <c r="N36" s="195" t="s">
        <v>49</v>
      </c>
      <c r="O36" s="195" t="s">
        <v>49</v>
      </c>
      <c r="P36" s="195" t="s">
        <v>49</v>
      </c>
      <c r="Q36" s="195" t="s">
        <v>49</v>
      </c>
      <c r="S36" s="42"/>
      <c r="T36" s="42"/>
      <c r="U36" s="42"/>
      <c r="Y36" s="200" t="s">
        <v>354</v>
      </c>
      <c r="Z36" s="1">
        <v>4.45</v>
      </c>
      <c r="AA36" s="1">
        <v>4.1900000000000004</v>
      </c>
      <c r="AB36" s="1">
        <v>3.98</v>
      </c>
      <c r="AC36" s="1">
        <v>3.75</v>
      </c>
      <c r="AE36" s="275">
        <f t="shared" si="25"/>
        <v>6.2052505966587054E-2</v>
      </c>
      <c r="AF36" s="275">
        <f t="shared" si="25"/>
        <v>5.276381909547749E-2</v>
      </c>
      <c r="AG36" s="275">
        <f t="shared" si="25"/>
        <v>6.133333333333333E-2</v>
      </c>
      <c r="AJ36" s="200" t="s">
        <v>354</v>
      </c>
      <c r="AK36" s="122" t="s">
        <v>49</v>
      </c>
      <c r="AL36" s="122" t="s">
        <v>49</v>
      </c>
      <c r="AM36" s="122" t="s">
        <v>49</v>
      </c>
      <c r="AN36" s="122" t="s">
        <v>49</v>
      </c>
      <c r="AV36" s="196" t="s">
        <v>355</v>
      </c>
      <c r="AW36" s="194">
        <v>16134</v>
      </c>
      <c r="AX36" s="194">
        <v>1997</v>
      </c>
      <c r="AY36" s="194">
        <v>3391</v>
      </c>
      <c r="AZ36" s="194">
        <v>39</v>
      </c>
      <c r="BB36" s="42">
        <f t="shared" si="27"/>
        <v>7.0791186780170259</v>
      </c>
      <c r="BC36" s="42">
        <f t="shared" si="28"/>
        <v>-0.41108817457976998</v>
      </c>
      <c r="BD36" s="42">
        <f t="shared" si="29"/>
        <v>85.948717948717942</v>
      </c>
      <c r="BG36" s="199" t="s">
        <v>356</v>
      </c>
      <c r="BH36" s="209">
        <f>SUM(BH27:BH35)</f>
        <v>38</v>
      </c>
      <c r="BI36" s="209">
        <f>SUM(BI27:BI35)</f>
        <v>60368</v>
      </c>
      <c r="BJ36" s="209">
        <f>SUM(BJ27:BJ35)</f>
        <v>-973</v>
      </c>
      <c r="BK36" s="209">
        <f>SUM(BK27:BK35)</f>
        <v>-305</v>
      </c>
      <c r="BM36" s="270">
        <f t="shared" si="30"/>
        <v>-0.99937052743175192</v>
      </c>
      <c r="BN36" s="271">
        <f t="shared" si="30"/>
        <v>-63.043165467625897</v>
      </c>
      <c r="BO36" s="272">
        <f t="shared" si="30"/>
        <v>2.1901639344262294</v>
      </c>
    </row>
    <row r="37" spans="2:67" ht="16">
      <c r="B37" s="163" t="s">
        <v>341</v>
      </c>
      <c r="H37" s="42"/>
      <c r="I37" s="42"/>
      <c r="J37" s="42"/>
      <c r="M37" s="163" t="s">
        <v>357</v>
      </c>
      <c r="N37" s="194">
        <v>9</v>
      </c>
      <c r="O37" s="194">
        <v>9</v>
      </c>
      <c r="P37" s="194">
        <v>3</v>
      </c>
      <c r="Q37" s="194">
        <v>2</v>
      </c>
      <c r="S37" s="42">
        <f t="shared" ref="S37:U42" si="31">(N37-O37)/O37</f>
        <v>0</v>
      </c>
      <c r="T37" s="42">
        <f t="shared" si="31"/>
        <v>2</v>
      </c>
      <c r="U37" s="42">
        <f t="shared" si="31"/>
        <v>0.5</v>
      </c>
      <c r="AV37" s="196" t="s">
        <v>358</v>
      </c>
      <c r="AW37" s="194">
        <v>-6550</v>
      </c>
      <c r="AX37" s="194">
        <v>-1190</v>
      </c>
      <c r="AY37" s="194">
        <v>-2663</v>
      </c>
      <c r="AZ37" s="194">
        <v>-100</v>
      </c>
      <c r="BB37" s="42">
        <f t="shared" si="27"/>
        <v>4.5042016806722689</v>
      </c>
      <c r="BC37" s="42">
        <f t="shared" si="28"/>
        <v>-0.55313556139692077</v>
      </c>
      <c r="BD37" s="42">
        <f t="shared" si="29"/>
        <v>25.63</v>
      </c>
      <c r="BG37" s="200" t="s">
        <v>359</v>
      </c>
      <c r="BH37" s="216"/>
      <c r="BI37" s="216"/>
      <c r="BJ37" s="216"/>
      <c r="BK37" s="216"/>
      <c r="BM37" s="42"/>
      <c r="BN37" s="42"/>
      <c r="BO37" s="42"/>
    </row>
    <row r="38" spans="2:67" ht="16">
      <c r="B38" s="171" t="s">
        <v>349</v>
      </c>
      <c r="C38" s="164"/>
      <c r="D38" s="164"/>
      <c r="E38" s="164"/>
      <c r="F38" s="164"/>
      <c r="H38" s="42"/>
      <c r="I38" s="42"/>
      <c r="J38" s="42"/>
      <c r="M38" s="163" t="s">
        <v>360</v>
      </c>
      <c r="N38" s="194">
        <v>586213</v>
      </c>
      <c r="O38" s="194">
        <v>570794</v>
      </c>
      <c r="P38" s="194">
        <v>116055</v>
      </c>
      <c r="Q38" s="194">
        <v>108110</v>
      </c>
      <c r="S38" s="42">
        <f t="shared" si="31"/>
        <v>2.701324821213958E-2</v>
      </c>
      <c r="T38" s="42">
        <f t="shared" si="31"/>
        <v>3.9183059756150103</v>
      </c>
      <c r="U38" s="42">
        <f t="shared" si="31"/>
        <v>7.3489963925631299E-2</v>
      </c>
      <c r="AV38" s="196" t="s">
        <v>361</v>
      </c>
      <c r="AW38" s="194">
        <v>2</v>
      </c>
      <c r="AX38" s="194">
        <v>5</v>
      </c>
      <c r="AY38" s="194">
        <v>7431</v>
      </c>
      <c r="AZ38" s="194">
        <v>3</v>
      </c>
      <c r="BB38" s="42">
        <f t="shared" si="27"/>
        <v>-0.6</v>
      </c>
      <c r="BC38" s="42">
        <f t="shared" si="28"/>
        <v>-0.99932714304938774</v>
      </c>
      <c r="BD38" s="42">
        <f t="shared" si="29"/>
        <v>2476</v>
      </c>
      <c r="BG38" s="196" t="s">
        <v>362</v>
      </c>
      <c r="BH38" s="194">
        <v>-41274</v>
      </c>
      <c r="BI38" s="194">
        <v>13591</v>
      </c>
      <c r="BJ38" s="194">
        <v>23657</v>
      </c>
      <c r="BK38" s="194">
        <v>-9290</v>
      </c>
      <c r="BM38" s="42">
        <f t="shared" ref="BM38:BO40" si="32">(BH38-BI38)/BI38</f>
        <v>-4.0368626296814067</v>
      </c>
      <c r="BN38" s="42">
        <f t="shared" si="32"/>
        <v>-0.42549773851291373</v>
      </c>
      <c r="BO38" s="42">
        <f t="shared" si="32"/>
        <v>-3.5465016146393973</v>
      </c>
    </row>
    <row r="39" spans="2:67" ht="17" thickBot="1">
      <c r="B39" s="163" t="s">
        <v>363</v>
      </c>
      <c r="C39" s="180" t="s">
        <v>49</v>
      </c>
      <c r="D39" s="180" t="s">
        <v>49</v>
      </c>
      <c r="E39" s="180" t="s">
        <v>49</v>
      </c>
      <c r="F39" s="180" t="s">
        <v>49</v>
      </c>
      <c r="H39" s="42"/>
      <c r="I39" s="42"/>
      <c r="J39" s="42"/>
      <c r="M39" s="163" t="s">
        <v>364</v>
      </c>
      <c r="N39" s="194">
        <v>-439830</v>
      </c>
      <c r="O39" s="194">
        <v>-391656</v>
      </c>
      <c r="P39" s="194">
        <v>-352977</v>
      </c>
      <c r="Q39" s="194">
        <v>-338511</v>
      </c>
      <c r="S39" s="42">
        <f t="shared" si="31"/>
        <v>0.12300079661743979</v>
      </c>
      <c r="T39" s="42">
        <f t="shared" si="31"/>
        <v>0.10957937769316414</v>
      </c>
      <c r="U39" s="42">
        <f t="shared" si="31"/>
        <v>4.2734209523471914E-2</v>
      </c>
      <c r="AV39" s="196" t="s">
        <v>365</v>
      </c>
      <c r="AW39" s="194">
        <v>-2134</v>
      </c>
      <c r="AX39" s="194">
        <v>-1802</v>
      </c>
      <c r="AY39" s="194">
        <v>-1064</v>
      </c>
      <c r="AZ39" s="194">
        <v>-2823</v>
      </c>
      <c r="BB39" s="42">
        <f t="shared" si="27"/>
        <v>0.18423973362930077</v>
      </c>
      <c r="BC39" s="42">
        <f t="shared" si="28"/>
        <v>0.69360902255639101</v>
      </c>
      <c r="BD39" s="42">
        <f t="shared" si="29"/>
        <v>-0.62309599716613528</v>
      </c>
      <c r="BG39" s="196" t="s">
        <v>366</v>
      </c>
      <c r="BH39" s="194">
        <v>50791</v>
      </c>
      <c r="BI39" s="194">
        <v>37200</v>
      </c>
      <c r="BJ39" s="194">
        <v>13543</v>
      </c>
      <c r="BK39" s="194">
        <v>22833</v>
      </c>
      <c r="BM39" s="42">
        <f t="shared" si="32"/>
        <v>0.3653494623655914</v>
      </c>
      <c r="BN39" s="42">
        <f t="shared" si="32"/>
        <v>1.7468064682861995</v>
      </c>
      <c r="BO39" s="42">
        <f t="shared" si="32"/>
        <v>-0.40686725353654796</v>
      </c>
    </row>
    <row r="40" spans="2:67" ht="17" thickBot="1">
      <c r="B40" s="163" t="s">
        <v>367</v>
      </c>
      <c r="C40" s="164">
        <v>3120</v>
      </c>
      <c r="D40" s="164">
        <v>3120</v>
      </c>
      <c r="E40" s="164">
        <v>3120</v>
      </c>
      <c r="F40" s="164">
        <v>3120</v>
      </c>
      <c r="H40" s="42">
        <f t="shared" ref="H40:J48" si="33">(C40-D40)/D40</f>
        <v>0</v>
      </c>
      <c r="I40" s="42">
        <f t="shared" si="33"/>
        <v>0</v>
      </c>
      <c r="J40" s="42">
        <f t="shared" si="33"/>
        <v>0</v>
      </c>
      <c r="M40" s="217" t="s">
        <v>368</v>
      </c>
      <c r="N40" s="218">
        <v>-32</v>
      </c>
      <c r="O40" s="218">
        <v>-41</v>
      </c>
      <c r="P40" s="218">
        <v>94</v>
      </c>
      <c r="Q40" s="218">
        <v>122</v>
      </c>
      <c r="S40" s="42">
        <f t="shared" si="31"/>
        <v>-0.21951219512195122</v>
      </c>
      <c r="T40" s="42">
        <f t="shared" si="31"/>
        <v>-1.4361702127659575</v>
      </c>
      <c r="U40" s="42">
        <f t="shared" si="31"/>
        <v>-0.22950819672131148</v>
      </c>
      <c r="AV40" s="196" t="s">
        <v>369</v>
      </c>
      <c r="AW40" s="194">
        <v>1329</v>
      </c>
      <c r="AX40" s="194">
        <v>1036</v>
      </c>
      <c r="AY40" s="194">
        <v>1114</v>
      </c>
      <c r="AZ40" s="194">
        <v>954</v>
      </c>
      <c r="BB40" s="42">
        <f t="shared" si="27"/>
        <v>0.28281853281853281</v>
      </c>
      <c r="BC40" s="42">
        <f t="shared" si="28"/>
        <v>-7.0017953321364457E-2</v>
      </c>
      <c r="BD40" s="42">
        <f t="shared" si="29"/>
        <v>0.16771488469601678</v>
      </c>
      <c r="BG40" s="199" t="s">
        <v>370</v>
      </c>
      <c r="BH40" s="206">
        <f>SUM(BH38:BH39)</f>
        <v>9517</v>
      </c>
      <c r="BI40" s="206">
        <f>SUM(BI38:BI39)</f>
        <v>50791</v>
      </c>
      <c r="BJ40" s="206">
        <f>SUM(BJ38:BJ39)</f>
        <v>37200</v>
      </c>
      <c r="BK40" s="206">
        <f>SUM(BK38:BK39)</f>
        <v>13543</v>
      </c>
      <c r="BM40" s="270">
        <f t="shared" si="32"/>
        <v>-0.81262428382981233</v>
      </c>
      <c r="BN40" s="271">
        <f t="shared" si="32"/>
        <v>0.3653494623655914</v>
      </c>
      <c r="BO40" s="272">
        <f t="shared" si="32"/>
        <v>1.7468064682861995</v>
      </c>
    </row>
    <row r="41" spans="2:67" ht="17" thickBot="1">
      <c r="B41" s="163" t="s">
        <v>371</v>
      </c>
      <c r="C41" s="164">
        <v>-12967</v>
      </c>
      <c r="D41" s="164">
        <v>-13058</v>
      </c>
      <c r="E41" s="164">
        <v>-15242</v>
      </c>
      <c r="F41" s="164">
        <v>-15891</v>
      </c>
      <c r="H41" s="42">
        <f t="shared" si="33"/>
        <v>-6.968907949149946E-3</v>
      </c>
      <c r="I41" s="42">
        <f t="shared" si="33"/>
        <v>-0.14328828237764074</v>
      </c>
      <c r="J41" s="42">
        <f t="shared" si="33"/>
        <v>-4.0840727455792585E-2</v>
      </c>
      <c r="M41" s="170" t="s">
        <v>372</v>
      </c>
      <c r="N41" s="207">
        <f>SUM(N33:N40)</f>
        <v>146360</v>
      </c>
      <c r="O41" s="207">
        <f>SUM(O33:O40)</f>
        <v>179106</v>
      </c>
      <c r="P41" s="207">
        <f>SUM(P33:P40)</f>
        <v>139579</v>
      </c>
      <c r="Q41" s="207">
        <f>SUM(Q33:Q40)</f>
        <v>146127</v>
      </c>
      <c r="S41" s="174">
        <f t="shared" si="31"/>
        <v>-0.18283027927595949</v>
      </c>
      <c r="T41" s="174">
        <f t="shared" si="31"/>
        <v>0.28318729894898231</v>
      </c>
      <c r="U41" s="174">
        <f t="shared" si="31"/>
        <v>-4.4810336214388853E-2</v>
      </c>
      <c r="AV41" s="196" t="s">
        <v>330</v>
      </c>
      <c r="AW41" s="194">
        <v>-28</v>
      </c>
      <c r="AX41" s="194">
        <v>281</v>
      </c>
      <c r="AY41" s="194">
        <v>-333</v>
      </c>
      <c r="AZ41" s="194">
        <v>100</v>
      </c>
      <c r="BB41" s="42">
        <f t="shared" si="27"/>
        <v>-1.0996441281138789</v>
      </c>
      <c r="BC41" s="42">
        <f t="shared" si="28"/>
        <v>-1.8438438438438438</v>
      </c>
      <c r="BD41" s="42">
        <f t="shared" si="29"/>
        <v>-4.33</v>
      </c>
      <c r="BG41" t="s">
        <v>373</v>
      </c>
      <c r="BH41" s="1"/>
      <c r="BI41" s="185"/>
      <c r="BJ41" s="185"/>
      <c r="BK41" s="1"/>
      <c r="BM41" s="42"/>
      <c r="BN41" s="42"/>
      <c r="BO41" s="42"/>
    </row>
    <row r="42" spans="2:67" ht="17" thickBot="1">
      <c r="B42" s="163" t="s">
        <v>374</v>
      </c>
      <c r="C42" s="164">
        <v>128345</v>
      </c>
      <c r="D42" s="164">
        <v>123060</v>
      </c>
      <c r="E42" s="164">
        <v>113890</v>
      </c>
      <c r="F42" s="164">
        <v>110659</v>
      </c>
      <c r="H42" s="42">
        <f t="shared" si="33"/>
        <v>4.2946530147895338E-2</v>
      </c>
      <c r="I42" s="42">
        <f t="shared" si="33"/>
        <v>8.0516287645974183E-2</v>
      </c>
      <c r="J42" s="42">
        <f t="shared" si="33"/>
        <v>2.9197805872093547E-2</v>
      </c>
      <c r="M42" s="172" t="s">
        <v>375</v>
      </c>
      <c r="N42" s="206">
        <f>N32+N41</f>
        <v>240599</v>
      </c>
      <c r="O42" s="206">
        <f>O32+O41</f>
        <v>272597</v>
      </c>
      <c r="P42" s="206">
        <f>P32+P41</f>
        <v>240732</v>
      </c>
      <c r="Q42" s="206">
        <f>Q32+Q41</f>
        <v>234022</v>
      </c>
      <c r="S42" s="270">
        <f t="shared" si="31"/>
        <v>-0.11738206950186539</v>
      </c>
      <c r="T42" s="271">
        <f t="shared" si="31"/>
        <v>0.13236711363674128</v>
      </c>
      <c r="U42" s="272">
        <f t="shared" si="31"/>
        <v>2.8672517968396132E-2</v>
      </c>
      <c r="AV42" s="196" t="s">
        <v>376</v>
      </c>
      <c r="AW42" s="194">
        <v>93</v>
      </c>
      <c r="AX42" s="194">
        <v>114</v>
      </c>
      <c r="AY42" s="194">
        <v>-294</v>
      </c>
      <c r="AZ42" s="194">
        <v>475</v>
      </c>
      <c r="BB42" s="42">
        <f t="shared" si="27"/>
        <v>-0.18421052631578946</v>
      </c>
      <c r="BC42" s="42">
        <f t="shared" si="28"/>
        <v>-1.3877551020408163</v>
      </c>
      <c r="BD42" s="42">
        <f t="shared" si="29"/>
        <v>-1.6189473684210527</v>
      </c>
      <c r="BG42" t="s">
        <v>242</v>
      </c>
      <c r="BH42" s="10">
        <v>9517</v>
      </c>
      <c r="BI42" s="10">
        <v>50791</v>
      </c>
      <c r="BJ42" s="10">
        <v>29259</v>
      </c>
      <c r="BK42" s="10">
        <v>13543</v>
      </c>
      <c r="BM42" s="42">
        <f>(BH42-BI42)/BI42</f>
        <v>-0.81262428382981233</v>
      </c>
      <c r="BN42" s="42">
        <f>(BI42-BJ42)/BJ42</f>
        <v>0.73591031819269281</v>
      </c>
      <c r="BO42" s="42">
        <f>(BJ42-BK42)/BK42</f>
        <v>1.1604518939673631</v>
      </c>
    </row>
    <row r="43" spans="2:67" ht="17" thickBot="1">
      <c r="B43" s="163"/>
      <c r="C43" s="164"/>
      <c r="D43" s="164"/>
      <c r="E43" s="164"/>
      <c r="F43" s="164"/>
      <c r="H43" s="42"/>
      <c r="I43" s="42"/>
      <c r="J43" s="42"/>
      <c r="AV43" s="199" t="s">
        <v>356</v>
      </c>
      <c r="AW43" s="181">
        <f>-8871</f>
        <v>-8871</v>
      </c>
      <c r="AX43" s="181">
        <f>SUM(AX34:AX42)</f>
        <v>-14047</v>
      </c>
      <c r="AY43" s="181">
        <f>SUM(AY34:AY42)</f>
        <v>-6120</v>
      </c>
      <c r="AZ43" s="181">
        <f>SUM(AZ34:AZ42)</f>
        <v>-18015</v>
      </c>
      <c r="BB43" s="270">
        <f t="shared" si="27"/>
        <v>-0.36847725492987826</v>
      </c>
      <c r="BC43" s="271">
        <f t="shared" si="28"/>
        <v>1.2952614379084968</v>
      </c>
      <c r="BD43" s="272">
        <f t="shared" si="29"/>
        <v>-0.66028309741881763</v>
      </c>
      <c r="BG43" t="s">
        <v>377</v>
      </c>
      <c r="BH43" t="s">
        <v>49</v>
      </c>
      <c r="BI43" s="10" t="s">
        <v>49</v>
      </c>
      <c r="BJ43" s="10">
        <v>1752</v>
      </c>
      <c r="BK43" t="s">
        <v>49</v>
      </c>
      <c r="BM43" s="42"/>
      <c r="BN43" s="42"/>
      <c r="BO43" s="42"/>
    </row>
    <row r="44" spans="2:67" ht="17" thickBot="1">
      <c r="B44" s="163"/>
      <c r="C44" s="164"/>
      <c r="D44" s="164"/>
      <c r="E44" s="164"/>
      <c r="F44" s="164"/>
      <c r="H44" s="42"/>
      <c r="I44" s="42"/>
      <c r="J44" s="42"/>
      <c r="M44" s="163" t="s">
        <v>378</v>
      </c>
      <c r="N44" s="166">
        <f>N21-N42</f>
        <v>0</v>
      </c>
      <c r="O44" s="166">
        <f>O21-O42</f>
        <v>0</v>
      </c>
      <c r="P44" s="166">
        <f>P21-P42</f>
        <v>0</v>
      </c>
      <c r="Q44" s="166">
        <f>Q21-Q42</f>
        <v>0</v>
      </c>
      <c r="BB44" s="42"/>
      <c r="BC44" s="42"/>
      <c r="BD44" s="42"/>
      <c r="BG44" t="s">
        <v>379</v>
      </c>
      <c r="BH44" t="s">
        <v>49</v>
      </c>
      <c r="BI44" s="10" t="s">
        <v>49</v>
      </c>
      <c r="BJ44" s="10">
        <v>6189</v>
      </c>
      <c r="BK44" t="s">
        <v>49</v>
      </c>
      <c r="BM44" s="42"/>
      <c r="BN44" s="42"/>
      <c r="BO44" s="42"/>
    </row>
    <row r="45" spans="2:67" ht="17" thickBot="1">
      <c r="B45" s="163"/>
      <c r="C45" s="164"/>
      <c r="D45" s="164"/>
      <c r="E45" s="164"/>
      <c r="F45" s="164"/>
      <c r="H45" s="42"/>
      <c r="I45" s="42"/>
      <c r="J45" s="42"/>
      <c r="BB45" s="273"/>
      <c r="BC45" s="273"/>
      <c r="BD45" s="273"/>
      <c r="BG45" s="179" t="s">
        <v>380</v>
      </c>
      <c r="BH45" s="210">
        <f>SUM(BH42:BH44)</f>
        <v>9517</v>
      </c>
      <c r="BI45" s="210">
        <f>SUM(BI42:BI44)</f>
        <v>50791</v>
      </c>
      <c r="BJ45" s="210">
        <f>SUM(BJ42:BJ44)</f>
        <v>37200</v>
      </c>
      <c r="BK45" s="210">
        <f>SUM(BK42:BK44)</f>
        <v>13543</v>
      </c>
      <c r="BM45" s="270">
        <f>(BH45-BI45)/BI45</f>
        <v>-0.81262428382981233</v>
      </c>
      <c r="BN45" s="271">
        <f>(BI45-BJ45)/BJ45</f>
        <v>0.3653494623655914</v>
      </c>
      <c r="BO45" s="272">
        <f>(BJ45-BK45)/BK45</f>
        <v>1.7468064682861995</v>
      </c>
    </row>
    <row r="46" spans="2:67" ht="16">
      <c r="B46" s="163" t="s">
        <v>381</v>
      </c>
      <c r="C46" s="164">
        <v>-41694</v>
      </c>
      <c r="D46" s="164">
        <v>-39099</v>
      </c>
      <c r="E46" s="164">
        <v>-38490</v>
      </c>
      <c r="F46" s="164">
        <v>-38417</v>
      </c>
      <c r="H46" s="42">
        <f t="shared" si="33"/>
        <v>6.6369983887055936E-2</v>
      </c>
      <c r="I46" s="42">
        <f t="shared" si="33"/>
        <v>1.5822291504286826E-2</v>
      </c>
      <c r="J46" s="42">
        <f t="shared" si="33"/>
        <v>1.9002004321003723E-3</v>
      </c>
      <c r="AV46" s="204" t="s">
        <v>382</v>
      </c>
      <c r="AW46" s="183">
        <v>-312</v>
      </c>
      <c r="AX46" s="183">
        <v>-178</v>
      </c>
      <c r="AY46" s="183">
        <v>89</v>
      </c>
      <c r="AZ46" s="183">
        <v>-9</v>
      </c>
      <c r="BB46" s="184">
        <f t="shared" ref="BB46:BD49" si="34">(AW46-AX46)/AX46</f>
        <v>0.7528089887640449</v>
      </c>
      <c r="BC46" s="184">
        <f t="shared" si="34"/>
        <v>-3</v>
      </c>
      <c r="BD46" s="184">
        <f t="shared" si="34"/>
        <v>-10.888888888888889</v>
      </c>
      <c r="BG46" s="200" t="s">
        <v>383</v>
      </c>
      <c r="BH46" s="194"/>
      <c r="BI46" s="194"/>
      <c r="BJ46" s="194"/>
      <c r="BK46" s="194"/>
      <c r="BM46" s="42"/>
      <c r="BN46" s="42"/>
      <c r="BO46" s="42"/>
    </row>
    <row r="47" spans="2:67" ht="17" thickBot="1">
      <c r="B47" s="201" t="s">
        <v>384</v>
      </c>
      <c r="C47" s="207">
        <f>SUM(C39:C46)</f>
        <v>76804</v>
      </c>
      <c r="D47" s="207">
        <f>SUM(D39:D46)</f>
        <v>74023</v>
      </c>
      <c r="E47" s="207">
        <f>SUM(E39:E46)</f>
        <v>63278</v>
      </c>
      <c r="F47" s="207">
        <f>SUM(F39:F46)</f>
        <v>59471</v>
      </c>
      <c r="H47" s="174">
        <f t="shared" si="33"/>
        <v>3.7569404104129796E-2</v>
      </c>
      <c r="I47" s="174">
        <f t="shared" si="33"/>
        <v>0.16980625177786909</v>
      </c>
      <c r="J47" s="174">
        <f t="shared" si="33"/>
        <v>6.4014393569975278E-2</v>
      </c>
      <c r="AV47" s="196" t="s">
        <v>359</v>
      </c>
      <c r="AW47" s="194">
        <v>-360</v>
      </c>
      <c r="AX47" s="194">
        <v>502</v>
      </c>
      <c r="AY47" s="194">
        <v>-3320</v>
      </c>
      <c r="AZ47" s="194">
        <v>-802</v>
      </c>
      <c r="BB47" s="42">
        <f t="shared" si="34"/>
        <v>-1.7171314741035857</v>
      </c>
      <c r="BC47" s="42">
        <f t="shared" si="34"/>
        <v>-1.1512048192771085</v>
      </c>
      <c r="BD47" s="42">
        <f t="shared" si="34"/>
        <v>3.1396508728179553</v>
      </c>
      <c r="BG47" s="196" t="s">
        <v>385</v>
      </c>
      <c r="BH47" s="194"/>
      <c r="BI47" s="194"/>
      <c r="BJ47" s="194"/>
      <c r="BK47" s="194"/>
      <c r="BM47" s="42"/>
      <c r="BN47" s="42"/>
      <c r="BO47" s="42"/>
    </row>
    <row r="48" spans="2:67" ht="17" thickBot="1">
      <c r="B48" s="172" t="s">
        <v>386</v>
      </c>
      <c r="C48" s="206">
        <f>C36+C47</f>
        <v>187378</v>
      </c>
      <c r="D48" s="206">
        <f>D36+D47</f>
        <v>182018</v>
      </c>
      <c r="E48" s="206">
        <f>E36+E47</f>
        <v>174894</v>
      </c>
      <c r="F48" s="206">
        <f>F36+F47</f>
        <v>157728</v>
      </c>
      <c r="H48" s="270">
        <f t="shared" si="33"/>
        <v>2.9447637046885473E-2</v>
      </c>
      <c r="I48" s="271">
        <f t="shared" si="33"/>
        <v>4.0733244136448361E-2</v>
      </c>
      <c r="J48" s="272">
        <f t="shared" si="33"/>
        <v>0.10883292757151553</v>
      </c>
      <c r="AV48" s="196" t="s">
        <v>387</v>
      </c>
      <c r="AW48" s="194">
        <v>14487</v>
      </c>
      <c r="AX48" s="194">
        <v>13985</v>
      </c>
      <c r="AY48" s="194">
        <v>17305</v>
      </c>
      <c r="AZ48" s="194">
        <v>18107</v>
      </c>
      <c r="BB48" s="42">
        <f t="shared" si="34"/>
        <v>3.589560243117626E-2</v>
      </c>
      <c r="BC48" s="42">
        <f t="shared" si="34"/>
        <v>-0.1918520658769142</v>
      </c>
      <c r="BD48" s="42">
        <f t="shared" si="34"/>
        <v>-4.4292262660849395E-2</v>
      </c>
      <c r="BG48" s="196" t="s">
        <v>388</v>
      </c>
      <c r="BH48" s="194">
        <v>8</v>
      </c>
      <c r="BI48" s="194">
        <v>1797</v>
      </c>
      <c r="BJ48" s="194">
        <v>1844</v>
      </c>
      <c r="BK48" s="194">
        <v>1724</v>
      </c>
      <c r="BM48" s="42">
        <f t="shared" ref="BM48:BO49" si="35">(BH48-BI48)/BI48</f>
        <v>-0.99554813578185863</v>
      </c>
      <c r="BN48" s="42">
        <f t="shared" si="35"/>
        <v>-2.5488069414316701E-2</v>
      </c>
      <c r="BO48" s="42">
        <f t="shared" si="35"/>
        <v>6.9605568445475635E-2</v>
      </c>
    </row>
    <row r="49" spans="2:67" ht="17" thickBot="1">
      <c r="B49" s="196"/>
      <c r="H49" s="42"/>
      <c r="I49" s="42"/>
      <c r="J49" s="42"/>
      <c r="AV49" s="199" t="s">
        <v>389</v>
      </c>
      <c r="AW49" s="202">
        <f>SUM(AW47:AW48)</f>
        <v>14127</v>
      </c>
      <c r="AX49" s="210">
        <f>SUM(AX47:AX48)</f>
        <v>14487</v>
      </c>
      <c r="AY49" s="210">
        <f>SUM(AY47:AY48)</f>
        <v>13985</v>
      </c>
      <c r="AZ49" s="202">
        <f>SUM(AZ47:AZ48)</f>
        <v>17305</v>
      </c>
      <c r="BB49" s="270">
        <f t="shared" si="34"/>
        <v>-2.4849865396562434E-2</v>
      </c>
      <c r="BC49" s="271">
        <f t="shared" si="34"/>
        <v>3.589560243117626E-2</v>
      </c>
      <c r="BD49" s="272">
        <f t="shared" si="34"/>
        <v>-0.1918520658769142</v>
      </c>
      <c r="BG49" s="196" t="s">
        <v>390</v>
      </c>
      <c r="BH49" s="194">
        <v>101</v>
      </c>
      <c r="BI49" s="194">
        <v>76</v>
      </c>
      <c r="BJ49" s="194">
        <v>102</v>
      </c>
      <c r="BK49" s="194">
        <v>75</v>
      </c>
      <c r="BM49" s="42">
        <f t="shared" si="35"/>
        <v>0.32894736842105265</v>
      </c>
      <c r="BN49" s="42">
        <f t="shared" si="35"/>
        <v>-0.25490196078431371</v>
      </c>
      <c r="BO49" s="42">
        <f t="shared" si="35"/>
        <v>0.36</v>
      </c>
    </row>
    <row r="50" spans="2:67" ht="16">
      <c r="B50" s="171" t="s">
        <v>378</v>
      </c>
      <c r="C50" s="166">
        <f>C21-C48</f>
        <v>0</v>
      </c>
      <c r="D50" s="166">
        <f>D21-D48</f>
        <v>0</v>
      </c>
      <c r="E50" s="166">
        <f>E21-E48</f>
        <v>0</v>
      </c>
      <c r="F50" s="166">
        <f>F21-F48</f>
        <v>0</v>
      </c>
      <c r="H50" s="42"/>
      <c r="I50" s="42"/>
      <c r="J50" s="42"/>
      <c r="AV50" s="200" t="s">
        <v>391</v>
      </c>
      <c r="AW50" s="194"/>
      <c r="AX50" s="194"/>
      <c r="AY50" s="194"/>
      <c r="AZ50" s="194"/>
      <c r="BB50" s="42"/>
      <c r="BC50" s="42"/>
      <c r="BD50" s="42"/>
      <c r="BG50" s="200" t="s">
        <v>392</v>
      </c>
      <c r="BM50" s="42"/>
      <c r="BN50" s="42"/>
      <c r="BO50" s="42"/>
    </row>
    <row r="51" spans="2:67" ht="16">
      <c r="AV51" s="196" t="s">
        <v>393</v>
      </c>
      <c r="AW51" s="194"/>
      <c r="AX51" s="194"/>
      <c r="AY51" s="194"/>
      <c r="AZ51" s="194"/>
      <c r="BB51" s="42"/>
      <c r="BC51" s="42"/>
      <c r="BD51" s="42"/>
      <c r="BG51" s="196" t="s">
        <v>394</v>
      </c>
      <c r="BH51" s="194" t="s">
        <v>49</v>
      </c>
      <c r="BI51" s="194">
        <v>123</v>
      </c>
      <c r="BJ51" s="194">
        <v>71</v>
      </c>
      <c r="BK51" s="194">
        <v>311</v>
      </c>
      <c r="BM51" s="42"/>
      <c r="BN51" s="42">
        <f>(BI51-BJ51)/BJ51</f>
        <v>0.73239436619718312</v>
      </c>
      <c r="BO51" s="42">
        <f>(BJ51-BK51)/BK51</f>
        <v>-0.77170418006430863</v>
      </c>
    </row>
    <row r="52" spans="2:67" ht="16">
      <c r="AV52" s="196" t="s">
        <v>388</v>
      </c>
      <c r="AW52" s="194">
        <v>982</v>
      </c>
      <c r="AX52" s="194">
        <v>990</v>
      </c>
      <c r="AY52" s="194">
        <v>904</v>
      </c>
      <c r="AZ52" s="194">
        <v>995</v>
      </c>
      <c r="BB52" s="42">
        <f t="shared" ref="BB52:BD54" si="36">(AW52-AX52)/AX52</f>
        <v>-8.0808080808080808E-3</v>
      </c>
      <c r="BC52" s="42">
        <f t="shared" si="36"/>
        <v>9.5132743362831854E-2</v>
      </c>
      <c r="BD52" s="42">
        <f t="shared" si="36"/>
        <v>-9.1457286432160806E-2</v>
      </c>
      <c r="BG52" s="196" t="s">
        <v>395</v>
      </c>
      <c r="BH52" s="194" t="s">
        <v>49</v>
      </c>
      <c r="BI52" s="194" t="s">
        <v>49</v>
      </c>
      <c r="BJ52" s="194">
        <v>533</v>
      </c>
      <c r="BK52" s="194" t="s">
        <v>49</v>
      </c>
      <c r="BM52" s="42"/>
      <c r="BN52" s="42"/>
      <c r="BO52" s="42"/>
    </row>
    <row r="53" spans="2:67" ht="16">
      <c r="AV53" s="196" t="s">
        <v>396</v>
      </c>
      <c r="AW53" s="194">
        <v>933</v>
      </c>
      <c r="AX53" s="194">
        <v>941</v>
      </c>
      <c r="AY53" s="194">
        <v>841</v>
      </c>
      <c r="AZ53" s="194">
        <v>925</v>
      </c>
      <c r="BB53" s="42">
        <f t="shared" si="36"/>
        <v>-8.5015940488841653E-3</v>
      </c>
      <c r="BC53" s="42">
        <f t="shared" si="36"/>
        <v>0.11890606420927467</v>
      </c>
      <c r="BD53" s="42">
        <f t="shared" si="36"/>
        <v>-9.0810810810810813E-2</v>
      </c>
      <c r="BG53" t="s">
        <v>397</v>
      </c>
      <c r="BH53" s="194">
        <v>54</v>
      </c>
      <c r="BI53" s="194">
        <v>33</v>
      </c>
      <c r="BJ53" s="194">
        <v>44</v>
      </c>
      <c r="BK53" s="194">
        <v>606</v>
      </c>
      <c r="BM53" s="42">
        <f>(BH53-BI53)/BI53</f>
        <v>0.63636363636363635</v>
      </c>
      <c r="BN53" s="42">
        <f>(BI53-BJ53)/BJ53</f>
        <v>-0.25</v>
      </c>
      <c r="BO53" s="42">
        <f>(BJ53-BK53)/BK53</f>
        <v>-0.9273927392739274</v>
      </c>
    </row>
    <row r="54" spans="2:67" ht="16">
      <c r="AV54" s="196" t="s">
        <v>390</v>
      </c>
      <c r="AW54" s="194">
        <v>5223</v>
      </c>
      <c r="AX54" s="194">
        <v>4768</v>
      </c>
      <c r="AY54" s="194">
        <v>4619</v>
      </c>
      <c r="AZ54" s="194">
        <v>4191</v>
      </c>
      <c r="BB54" s="42">
        <f t="shared" si="36"/>
        <v>9.5427852348993286E-2</v>
      </c>
      <c r="BC54" s="42">
        <f t="shared" si="36"/>
        <v>3.2258064516129031E-2</v>
      </c>
      <c r="BD54" s="42">
        <f t="shared" si="36"/>
        <v>0.10212359818659031</v>
      </c>
    </row>
    <row r="55" spans="2:67" ht="16">
      <c r="AV55" s="200" t="s">
        <v>398</v>
      </c>
      <c r="AW55" s="194"/>
      <c r="AX55" s="194"/>
      <c r="AY55" s="194"/>
      <c r="AZ55" s="194"/>
      <c r="BB55" s="42"/>
      <c r="BC55" s="42"/>
      <c r="BD55" s="42"/>
    </row>
    <row r="56" spans="2:67" ht="16">
      <c r="AV56" s="196" t="s">
        <v>399</v>
      </c>
      <c r="AW56" s="194">
        <v>2114</v>
      </c>
      <c r="AX56" s="194">
        <v>1811</v>
      </c>
      <c r="AY56" s="194">
        <v>1937</v>
      </c>
      <c r="AZ56" s="194">
        <v>1736</v>
      </c>
      <c r="BB56" s="42">
        <f>(AW56-AX56)/AX56</f>
        <v>0.1673108779679735</v>
      </c>
      <c r="BC56" s="42">
        <f>(AX56-AY56)/AY56</f>
        <v>-6.5049044914816723E-2</v>
      </c>
      <c r="BD56" s="42">
        <f>(AY56-AZ56)/AZ56</f>
        <v>0.11578341013824885</v>
      </c>
    </row>
    <row r="57" spans="2:67" ht="16">
      <c r="AV57" s="196" t="s">
        <v>400</v>
      </c>
      <c r="AW57" s="195" t="s">
        <v>49</v>
      </c>
      <c r="AX57" s="195" t="s">
        <v>49</v>
      </c>
      <c r="AY57" s="194">
        <v>27</v>
      </c>
      <c r="AZ57" s="194">
        <v>1</v>
      </c>
      <c r="BB57" s="42"/>
      <c r="BC57" s="42"/>
      <c r="BD57" s="42">
        <f>(AY57-AZ57)/AZ57</f>
        <v>26</v>
      </c>
    </row>
    <row r="58" spans="2:67" ht="16">
      <c r="AV58" s="200" t="s">
        <v>401</v>
      </c>
      <c r="AW58" s="194"/>
      <c r="AX58" s="194"/>
      <c r="AY58" s="194"/>
      <c r="AZ58" s="194"/>
      <c r="BB58" s="42"/>
      <c r="BC58" s="42"/>
      <c r="BD58" s="42"/>
    </row>
    <row r="59" spans="2:67" ht="16">
      <c r="AV59" s="196" t="s">
        <v>402</v>
      </c>
      <c r="AW59" s="194">
        <v>18710</v>
      </c>
      <c r="AX59" s="194">
        <v>61</v>
      </c>
      <c r="AY59" s="194">
        <v>7755</v>
      </c>
      <c r="AZ59" s="194">
        <v>7228</v>
      </c>
      <c r="BB59" s="42">
        <f t="shared" ref="BB59:BD61" si="37">(AW59-AX59)/AX59</f>
        <v>305.72131147540983</v>
      </c>
      <c r="BC59" s="42">
        <f t="shared" si="37"/>
        <v>-0.99213410702772409</v>
      </c>
      <c r="BD59" s="42">
        <f t="shared" si="37"/>
        <v>7.2910902047592693E-2</v>
      </c>
    </row>
    <row r="60" spans="2:67" ht="17" thickBot="1">
      <c r="AV60" s="196" t="s">
        <v>403</v>
      </c>
      <c r="AW60" s="194">
        <v>-1058</v>
      </c>
      <c r="AX60" s="194">
        <v>-1</v>
      </c>
      <c r="AY60" s="194">
        <v>-432</v>
      </c>
      <c r="AZ60" s="194">
        <v>-1418</v>
      </c>
      <c r="BB60" s="42">
        <f t="shared" si="37"/>
        <v>1057</v>
      </c>
      <c r="BC60" s="42">
        <f t="shared" si="37"/>
        <v>-0.99768518518518523</v>
      </c>
      <c r="BD60" s="42">
        <f t="shared" si="37"/>
        <v>-0.69534555712270807</v>
      </c>
    </row>
    <row r="61" spans="2:67" ht="17" thickBot="1">
      <c r="AV61" s="199" t="s">
        <v>404</v>
      </c>
      <c r="AW61" s="202">
        <f>SUM(AW59:AW60)</f>
        <v>17652</v>
      </c>
      <c r="AX61" s="202">
        <f>SUM(AX59:AX60)</f>
        <v>60</v>
      </c>
      <c r="AY61" s="202">
        <f>SUM(AY59:AY60)</f>
        <v>7323</v>
      </c>
      <c r="AZ61" s="202">
        <f>SUM(AZ59:AZ60)</f>
        <v>5810</v>
      </c>
      <c r="BB61" s="270">
        <f t="shared" si="37"/>
        <v>293.2</v>
      </c>
      <c r="BC61" s="271">
        <f t="shared" si="37"/>
        <v>-0.99180663662433433</v>
      </c>
      <c r="BD61" s="272">
        <f t="shared" si="37"/>
        <v>0.26041308089500859</v>
      </c>
    </row>
  </sheetData>
  <mergeCells count="24">
    <mergeCell ref="BG3:BK3"/>
    <mergeCell ref="BH5:BK5"/>
    <mergeCell ref="BB5:BD5"/>
    <mergeCell ref="BM5:BO5"/>
    <mergeCell ref="BB3:BD3"/>
    <mergeCell ref="BM3:BO3"/>
    <mergeCell ref="AJ3:AN3"/>
    <mergeCell ref="AK5:AN5"/>
    <mergeCell ref="AV3:AZ3"/>
    <mergeCell ref="AW5:AZ5"/>
    <mergeCell ref="AP5:AR5"/>
    <mergeCell ref="AP3:AR3"/>
    <mergeCell ref="Y3:AC3"/>
    <mergeCell ref="Z5:AC5"/>
    <mergeCell ref="S5:U5"/>
    <mergeCell ref="AE5:AG5"/>
    <mergeCell ref="AE3:AG3"/>
    <mergeCell ref="S3:U3"/>
    <mergeCell ref="B3:F3"/>
    <mergeCell ref="C5:F5"/>
    <mergeCell ref="M3:Q3"/>
    <mergeCell ref="N5:Q5"/>
    <mergeCell ref="H5:J5"/>
    <mergeCell ref="H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44BB0-A774-4C32-AA78-4ED9E19AB7A7}">
  <dimension ref="B3:AF16"/>
  <sheetViews>
    <sheetView topLeftCell="L1" workbookViewId="0">
      <selection activeCell="N4" sqref="N4:X12"/>
    </sheetView>
  </sheetViews>
  <sheetFormatPr baseColWidth="10" defaultColWidth="8.83203125" defaultRowHeight="15"/>
  <cols>
    <col min="2" max="2" width="31.1640625" bestFit="1" customWidth="1"/>
    <col min="3" max="5" width="8.5" bestFit="1" customWidth="1"/>
    <col min="10" max="11" width="8.33203125" bestFit="1" customWidth="1"/>
    <col min="25" max="25" width="9.1640625" bestFit="1" customWidth="1"/>
    <col min="26" max="26" width="11.33203125" customWidth="1"/>
    <col min="27" max="27" width="6.1640625" customWidth="1"/>
    <col min="28" max="28" width="5.83203125" customWidth="1"/>
    <col min="30" max="30" width="11.1640625" customWidth="1"/>
    <col min="31" max="31" width="8.83203125" customWidth="1"/>
    <col min="32" max="32" width="7.83203125" customWidth="1"/>
  </cols>
  <sheetData>
    <row r="3" spans="2:32">
      <c r="B3" s="1" t="s">
        <v>163</v>
      </c>
    </row>
    <row r="4" spans="2:32">
      <c r="C4" s="367" t="s">
        <v>5</v>
      </c>
      <c r="D4" s="367"/>
      <c r="E4" s="367"/>
      <c r="F4" s="367"/>
      <c r="H4" s="368" t="s">
        <v>165</v>
      </c>
      <c r="I4" s="368"/>
      <c r="J4" s="368"/>
      <c r="K4" s="368"/>
      <c r="N4" s="361" t="s">
        <v>149</v>
      </c>
      <c r="O4" s="361"/>
      <c r="P4" s="361"/>
      <c r="Q4" s="361"/>
      <c r="R4" s="361"/>
      <c r="S4" s="361"/>
      <c r="T4" s="361"/>
      <c r="U4" s="361"/>
      <c r="V4" s="361"/>
      <c r="W4" s="361"/>
      <c r="X4" s="361"/>
      <c r="Z4" s="361" t="s">
        <v>1</v>
      </c>
      <c r="AA4" s="361"/>
      <c r="AB4" s="361"/>
      <c r="AC4" s="361"/>
      <c r="AD4" s="361"/>
      <c r="AE4" s="361"/>
      <c r="AF4" s="361"/>
    </row>
    <row r="5" spans="2:32">
      <c r="C5" s="2">
        <v>2022</v>
      </c>
      <c r="D5" s="2">
        <v>2021</v>
      </c>
      <c r="E5" s="2">
        <v>2020</v>
      </c>
      <c r="F5" s="2">
        <v>2019</v>
      </c>
      <c r="H5" s="2">
        <v>2022</v>
      </c>
      <c r="I5" s="2">
        <v>2021</v>
      </c>
      <c r="J5" s="2">
        <v>2020</v>
      </c>
      <c r="K5" s="2">
        <v>2019</v>
      </c>
    </row>
    <row r="6" spans="2:32" ht="16">
      <c r="B6" s="200" t="s">
        <v>405</v>
      </c>
      <c r="N6" s="287"/>
      <c r="O6" s="373" t="s">
        <v>5</v>
      </c>
      <c r="P6" s="373"/>
      <c r="Q6" s="373"/>
      <c r="R6" s="373"/>
      <c r="S6" s="250"/>
      <c r="T6" s="288"/>
      <c r="U6" s="374" t="s">
        <v>165</v>
      </c>
      <c r="V6" s="374"/>
      <c r="W6" s="374"/>
      <c r="X6" s="375"/>
      <c r="Z6" s="367" t="s">
        <v>5</v>
      </c>
      <c r="AA6" s="367"/>
      <c r="AB6" s="367"/>
      <c r="AD6" s="368" t="s">
        <v>165</v>
      </c>
      <c r="AE6" s="368"/>
      <c r="AF6" s="368"/>
    </row>
    <row r="7" spans="2:32" ht="16">
      <c r="B7" s="163" t="s">
        <v>406</v>
      </c>
      <c r="C7" s="11">
        <f>'Financial Ratios Calculation'!D78</f>
        <v>2625</v>
      </c>
      <c r="D7" s="11">
        <f>'Financial Ratios Calculation'!E78</f>
        <v>2632</v>
      </c>
      <c r="E7" s="11">
        <f>'Financial Ratios Calculation'!F78</f>
        <v>2633</v>
      </c>
      <c r="F7" s="11">
        <f>'Financial Ratios Calculation'!G78</f>
        <v>2645</v>
      </c>
      <c r="G7" s="11"/>
      <c r="H7" s="11">
        <f>'Financial Ratios Calculation'!I78</f>
        <v>92201.8</v>
      </c>
      <c r="I7" s="11">
        <f>'Financial Ratios Calculation'!J78</f>
        <v>71126.2</v>
      </c>
      <c r="J7" s="11">
        <f>'Financial Ratios Calculation'!K78</f>
        <v>90189.8</v>
      </c>
      <c r="K7" s="11">
        <f>'Financial Ratios Calculation'!L78</f>
        <v>90189.8</v>
      </c>
      <c r="N7" s="248"/>
      <c r="O7" s="2">
        <v>2022</v>
      </c>
      <c r="P7" s="2">
        <v>2021</v>
      </c>
      <c r="Q7" s="2">
        <v>2020</v>
      </c>
      <c r="R7" s="2">
        <v>2019</v>
      </c>
      <c r="T7" s="2"/>
      <c r="U7" s="2">
        <v>2022</v>
      </c>
      <c r="V7" s="2">
        <v>2021</v>
      </c>
      <c r="W7" s="2">
        <v>2020</v>
      </c>
      <c r="X7" s="251">
        <v>2019</v>
      </c>
      <c r="Z7" s="2">
        <v>2022</v>
      </c>
      <c r="AA7" s="2">
        <v>2021</v>
      </c>
      <c r="AB7" s="2">
        <v>2020</v>
      </c>
      <c r="AD7" s="2">
        <v>2022</v>
      </c>
      <c r="AE7" s="2">
        <v>2021</v>
      </c>
      <c r="AF7" s="2">
        <v>2020</v>
      </c>
    </row>
    <row r="8" spans="2:32" ht="16">
      <c r="B8" s="163" t="s">
        <v>407</v>
      </c>
      <c r="C8" s="164">
        <f>'Financial Ratios Calculation'!D79</f>
        <v>176.65</v>
      </c>
      <c r="D8" s="164">
        <f>'Financial Ratios Calculation'!E79</f>
        <v>171.07</v>
      </c>
      <c r="E8" s="164">
        <f>'Financial Ratios Calculation'!F79</f>
        <v>157.38</v>
      </c>
      <c r="F8" s="164">
        <f>'Financial Ratios Calculation'!G79</f>
        <v>145.87</v>
      </c>
      <c r="G8" s="164"/>
      <c r="H8" s="164">
        <f>'Financial Ratios Calculation'!I79</f>
        <v>3.01</v>
      </c>
      <c r="I8" s="164">
        <f>'Financial Ratios Calculation'!J79</f>
        <v>8.09</v>
      </c>
      <c r="J8" s="164">
        <f>'Financial Ratios Calculation'!K79</f>
        <v>0</v>
      </c>
      <c r="K8" s="164">
        <f>'Financial Ratios Calculation'!L79</f>
        <v>0</v>
      </c>
      <c r="N8" s="219" t="s">
        <v>408</v>
      </c>
      <c r="O8" s="166">
        <f>C9</f>
        <v>14.859892442683272</v>
      </c>
      <c r="P8" s="166">
        <f>D9</f>
        <v>15.385514701584148</v>
      </c>
      <c r="Q8" s="166">
        <f>E9</f>
        <v>16.730207141949421</v>
      </c>
      <c r="R8" s="166">
        <f>F9</f>
        <v>18.132583807499827</v>
      </c>
      <c r="T8" s="1" t="s">
        <v>408</v>
      </c>
      <c r="U8" s="166">
        <f>H9</f>
        <v>30631.82724252492</v>
      </c>
      <c r="V8" s="166">
        <f>I9</f>
        <v>8791.8665018541415</v>
      </c>
      <c r="W8" s="166"/>
      <c r="X8" s="322"/>
      <c r="Z8" s="42">
        <f t="shared" ref="Z8:AB10" si="0">(O8-P8)/P8</f>
        <v>-3.4163449783500333E-2</v>
      </c>
      <c r="AA8" s="42">
        <f t="shared" si="0"/>
        <v>-8.0375122014693018E-2</v>
      </c>
      <c r="AB8" s="42">
        <f t="shared" si="0"/>
        <v>-7.7340145256649437E-2</v>
      </c>
      <c r="AC8" s="42"/>
      <c r="AD8" s="42">
        <f>(U8-V8)/V8</f>
        <v>2.4841096866137455</v>
      </c>
      <c r="AE8" s="42"/>
      <c r="AF8" s="42"/>
    </row>
    <row r="9" spans="2:32" ht="17" thickBot="1">
      <c r="B9" s="244" t="s">
        <v>128</v>
      </c>
      <c r="C9" s="243">
        <f>C7/C8</f>
        <v>14.859892442683272</v>
      </c>
      <c r="D9" s="243">
        <f t="shared" ref="D9:K9" si="1">D7/D8</f>
        <v>15.385514701584148</v>
      </c>
      <c r="E9" s="243">
        <f t="shared" si="1"/>
        <v>16.730207141949421</v>
      </c>
      <c r="F9" s="243">
        <f t="shared" si="1"/>
        <v>18.132583807499827</v>
      </c>
      <c r="G9" s="243"/>
      <c r="H9" s="243">
        <f t="shared" si="1"/>
        <v>30631.82724252492</v>
      </c>
      <c r="I9" s="243">
        <f t="shared" si="1"/>
        <v>8791.8665018541415</v>
      </c>
      <c r="J9" s="243" t="e">
        <f t="shared" si="1"/>
        <v>#DIV/0!</v>
      </c>
      <c r="K9" s="243" t="e">
        <f t="shared" si="1"/>
        <v>#DIV/0!</v>
      </c>
      <c r="N9" s="219" t="s">
        <v>337</v>
      </c>
      <c r="O9" s="166">
        <f>C11</f>
        <v>110574</v>
      </c>
      <c r="P9" s="166">
        <f>D11</f>
        <v>107995</v>
      </c>
      <c r="Q9" s="166">
        <f>E11</f>
        <v>111616</v>
      </c>
      <c r="R9" s="166">
        <f>F11</f>
        <v>98257</v>
      </c>
      <c r="T9" s="1" t="s">
        <v>337</v>
      </c>
      <c r="U9">
        <f>H11</f>
        <v>94239</v>
      </c>
      <c r="V9">
        <f>I11</f>
        <v>93491</v>
      </c>
      <c r="W9">
        <f>J11</f>
        <v>101153</v>
      </c>
      <c r="X9" s="165">
        <f>K11</f>
        <v>87895</v>
      </c>
      <c r="Z9" s="42">
        <f t="shared" si="0"/>
        <v>2.3880735219223112E-2</v>
      </c>
      <c r="AA9" s="42">
        <f t="shared" si="0"/>
        <v>-3.2441585435779817E-2</v>
      </c>
      <c r="AB9" s="42">
        <f t="shared" si="0"/>
        <v>0.13595977894704703</v>
      </c>
      <c r="AC9" s="42"/>
      <c r="AD9" s="42">
        <f>(U9-V9)/V9</f>
        <v>8.0007701276058659E-3</v>
      </c>
      <c r="AE9" s="42">
        <f>(V9-W9)/W9</f>
        <v>-7.5746641226656655E-2</v>
      </c>
      <c r="AF9" s="42">
        <f>(W9-X9)/X9</f>
        <v>0.15083906934410377</v>
      </c>
    </row>
    <row r="10" spans="2:32" ht="16">
      <c r="B10" s="237" t="s">
        <v>409</v>
      </c>
      <c r="C10" s="164"/>
      <c r="D10" s="37"/>
      <c r="N10" s="219" t="s">
        <v>153</v>
      </c>
      <c r="O10">
        <f>C13</f>
        <v>187378</v>
      </c>
      <c r="P10">
        <f>D13</f>
        <v>182018</v>
      </c>
      <c r="Q10">
        <f>E13</f>
        <v>174894</v>
      </c>
      <c r="R10">
        <f>F13</f>
        <v>157728</v>
      </c>
      <c r="T10" s="1" t="s">
        <v>153</v>
      </c>
      <c r="U10">
        <f>H13</f>
        <v>240599</v>
      </c>
      <c r="V10">
        <f>I13</f>
        <v>272597</v>
      </c>
      <c r="W10">
        <f>J13</f>
        <v>240732</v>
      </c>
      <c r="X10" s="165">
        <f>K13</f>
        <v>234022</v>
      </c>
      <c r="Z10" s="42">
        <f t="shared" si="0"/>
        <v>2.9447637046885473E-2</v>
      </c>
      <c r="AA10" s="42">
        <f t="shared" si="0"/>
        <v>4.0733244136448361E-2</v>
      </c>
      <c r="AB10" s="42">
        <f t="shared" si="0"/>
        <v>0.10883292757151553</v>
      </c>
      <c r="AC10" s="42"/>
      <c r="AD10" s="42">
        <f>(U10-V10)/V10</f>
        <v>-0.11738206950186539</v>
      </c>
      <c r="AE10" s="42">
        <f>(V10-W10)/W10</f>
        <v>0.13236711363674128</v>
      </c>
      <c r="AF10" s="42">
        <f>(W10-X10)/X10</f>
        <v>2.8672517968396132E-2</v>
      </c>
    </row>
    <row r="11" spans="2:32" ht="17" thickBot="1">
      <c r="B11" s="244" t="s">
        <v>337</v>
      </c>
      <c r="C11" s="243">
        <f>'Trend Analysis Calculation'!C36</f>
        <v>110574</v>
      </c>
      <c r="D11" s="243">
        <f>'Trend Analysis Calculation'!D36</f>
        <v>107995</v>
      </c>
      <c r="E11" s="243">
        <f>'Trend Analysis Calculation'!E36</f>
        <v>111616</v>
      </c>
      <c r="F11" s="243">
        <f>'Trend Analysis Calculation'!F36</f>
        <v>98257</v>
      </c>
      <c r="G11" s="243"/>
      <c r="H11" s="243">
        <f>'Trend Analysis Calculation'!N32</f>
        <v>94239</v>
      </c>
      <c r="I11" s="243">
        <f>'Trend Analysis Calculation'!O32</f>
        <v>93491</v>
      </c>
      <c r="J11" s="243">
        <f>'Trend Analysis Calculation'!P32</f>
        <v>101153</v>
      </c>
      <c r="K11" s="243">
        <f>'Trend Analysis Calculation'!Q32</f>
        <v>87895</v>
      </c>
      <c r="N11" s="219"/>
      <c r="T11" s="1"/>
      <c r="X11" s="165"/>
      <c r="Z11" s="42"/>
      <c r="AA11" s="42"/>
      <c r="AB11" s="42"/>
      <c r="AC11" s="42"/>
      <c r="AD11" s="42"/>
      <c r="AE11" s="42"/>
      <c r="AF11" s="42"/>
    </row>
    <row r="12" spans="2:32" ht="16">
      <c r="B12" s="200" t="s">
        <v>410</v>
      </c>
      <c r="C12" s="164"/>
      <c r="D12" s="10"/>
      <c r="N12" s="296" t="s">
        <v>149</v>
      </c>
      <c r="O12" s="323">
        <f>C16</f>
        <v>0.59019127054639642</v>
      </c>
      <c r="P12" s="323">
        <f>D16</f>
        <v>0.59340496827072919</v>
      </c>
      <c r="Q12" s="323">
        <f>E16</f>
        <v>0.63828793559036878</v>
      </c>
      <c r="R12" s="323">
        <f>F16</f>
        <v>0.62306713192209051</v>
      </c>
      <c r="S12" s="279"/>
      <c r="T12" s="279" t="s">
        <v>149</v>
      </c>
      <c r="U12" s="324">
        <f>H16</f>
        <v>0.51899977656816909</v>
      </c>
      <c r="V12" s="324">
        <f>I16</f>
        <v>0.37521640554317964</v>
      </c>
      <c r="W12" s="262"/>
      <c r="X12" s="263"/>
      <c r="Z12" s="42">
        <f>(O12-P12)/P12</f>
        <v>-5.4156906264165123E-3</v>
      </c>
      <c r="AA12" s="42">
        <f>(P12-Q12)/Q12</f>
        <v>-7.0317743477520359E-2</v>
      </c>
      <c r="AB12" s="42">
        <f>(Q12-R12)/R12</f>
        <v>2.4428834211369554E-2</v>
      </c>
      <c r="AC12" s="42"/>
      <c r="AD12" s="42">
        <f>(U12-V12)/V12</f>
        <v>0.38320118443873041</v>
      </c>
      <c r="AE12" s="42"/>
      <c r="AF12" s="42"/>
    </row>
    <row r="13" spans="2:32" ht="17" thickBot="1">
      <c r="B13" s="244" t="s">
        <v>200</v>
      </c>
      <c r="C13" s="243">
        <f>'Trend Analysis Calculation'!C21</f>
        <v>187378</v>
      </c>
      <c r="D13" s="243">
        <f>'Trend Analysis Calculation'!D21</f>
        <v>182018</v>
      </c>
      <c r="E13" s="243">
        <f>'Trend Analysis Calculation'!E21</f>
        <v>174894</v>
      </c>
      <c r="F13" s="243">
        <f>'Trend Analysis Calculation'!F21</f>
        <v>157728</v>
      </c>
      <c r="G13" s="243"/>
      <c r="H13" s="243">
        <f>'Trend Analysis Calculation'!N21</f>
        <v>240599</v>
      </c>
      <c r="I13" s="243">
        <f>'Trend Analysis Calculation'!O21</f>
        <v>272597</v>
      </c>
      <c r="J13" s="243">
        <f>'Trend Analysis Calculation'!P21</f>
        <v>240732</v>
      </c>
      <c r="K13" s="243">
        <f>'Trend Analysis Calculation'!Q21</f>
        <v>234022</v>
      </c>
    </row>
    <row r="14" spans="2:32" ht="16" thickBot="1"/>
    <row r="15" spans="2:32" ht="16">
      <c r="B15" s="242" t="s">
        <v>411</v>
      </c>
      <c r="C15" s="371" t="s">
        <v>412</v>
      </c>
      <c r="D15" s="371"/>
      <c r="E15" s="371"/>
      <c r="F15" s="371"/>
      <c r="G15" s="371"/>
      <c r="H15" s="371"/>
      <c r="I15" s="371"/>
      <c r="J15" s="371"/>
      <c r="K15" s="372"/>
      <c r="L15" s="1"/>
    </row>
    <row r="16" spans="2:32" ht="17" thickBot="1">
      <c r="B16" s="319"/>
      <c r="C16" s="320">
        <f>(C9+C11)/C13</f>
        <v>0.59019127054639642</v>
      </c>
      <c r="D16" s="320">
        <f>(D9+D11)/D13</f>
        <v>0.59340496827072919</v>
      </c>
      <c r="E16" s="320">
        <f>(E9+E11)/E13</f>
        <v>0.63828793559036878</v>
      </c>
      <c r="F16" s="320">
        <f>(F9+F11)/F13</f>
        <v>0.62306713192209051</v>
      </c>
      <c r="G16" s="320"/>
      <c r="H16" s="320">
        <f>(H9+H11)/H13</f>
        <v>0.51899977656816909</v>
      </c>
      <c r="I16" s="320">
        <f>(I9+I11)/I13</f>
        <v>0.37521640554317964</v>
      </c>
      <c r="J16" s="320" t="e">
        <f>(J9+J11)/J13</f>
        <v>#DIV/0!</v>
      </c>
      <c r="K16" s="321" t="e">
        <f>(K9+K11)/K13</f>
        <v>#DIV/0!</v>
      </c>
    </row>
  </sheetData>
  <mergeCells count="9">
    <mergeCell ref="N4:X4"/>
    <mergeCell ref="Z4:AF4"/>
    <mergeCell ref="C4:F4"/>
    <mergeCell ref="H4:K4"/>
    <mergeCell ref="C15:K15"/>
    <mergeCell ref="O6:R6"/>
    <mergeCell ref="U6:X6"/>
    <mergeCell ref="Z6:AB6"/>
    <mergeCell ref="AD6:AF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CFF7B-B561-4795-AC22-F07381677DB0}">
  <dimension ref="B3:AF21"/>
  <sheetViews>
    <sheetView topLeftCell="L1" workbookViewId="0">
      <selection activeCell="N4" sqref="N4:X12"/>
    </sheetView>
  </sheetViews>
  <sheetFormatPr baseColWidth="10" defaultColWidth="8.83203125" defaultRowHeight="15"/>
  <cols>
    <col min="2" max="2" width="16.83203125" bestFit="1" customWidth="1"/>
    <col min="18" max="19" width="8.83203125" customWidth="1"/>
    <col min="25" max="25" width="9.1640625" bestFit="1" customWidth="1"/>
    <col min="26" max="26" width="8.5" customWidth="1"/>
    <col min="27" max="27" width="6.5" customWidth="1"/>
    <col min="28" max="28" width="7.1640625" customWidth="1"/>
    <col min="30" max="30" width="9" customWidth="1"/>
    <col min="32" max="32" width="7.5" customWidth="1"/>
  </cols>
  <sheetData>
    <row r="3" spans="2:32">
      <c r="B3" s="1" t="s">
        <v>163</v>
      </c>
    </row>
    <row r="4" spans="2:32">
      <c r="C4" s="367" t="s">
        <v>5</v>
      </c>
      <c r="D4" s="367"/>
      <c r="E4" s="367"/>
      <c r="F4" s="367"/>
      <c r="H4" s="368" t="s">
        <v>165</v>
      </c>
      <c r="I4" s="368"/>
      <c r="J4" s="368"/>
      <c r="K4" s="368"/>
      <c r="N4" s="361" t="s">
        <v>413</v>
      </c>
      <c r="O4" s="361"/>
      <c r="P4" s="361"/>
      <c r="Q4" s="361"/>
      <c r="R4" s="361"/>
      <c r="S4" s="361"/>
      <c r="T4" s="361"/>
      <c r="U4" s="361"/>
      <c r="V4" s="361"/>
      <c r="W4" s="361"/>
      <c r="X4" s="361"/>
      <c r="Z4" s="361" t="s">
        <v>1</v>
      </c>
      <c r="AA4" s="361"/>
      <c r="AB4" s="361"/>
      <c r="AC4" s="361"/>
      <c r="AD4" s="361"/>
      <c r="AE4" s="361"/>
      <c r="AF4" s="361"/>
    </row>
    <row r="5" spans="2:32" ht="16" thickBot="1">
      <c r="C5" s="2">
        <v>2022</v>
      </c>
      <c r="D5" s="2">
        <v>2021</v>
      </c>
      <c r="E5" s="2">
        <v>2020</v>
      </c>
      <c r="F5" s="2">
        <v>2019</v>
      </c>
      <c r="H5" s="2">
        <v>2022</v>
      </c>
      <c r="I5" s="2">
        <v>2021</v>
      </c>
      <c r="J5" s="2">
        <v>2020</v>
      </c>
      <c r="K5" s="2">
        <v>2019</v>
      </c>
    </row>
    <row r="6" spans="2:32">
      <c r="B6" s="1" t="s">
        <v>414</v>
      </c>
      <c r="N6" s="264"/>
      <c r="O6" s="377" t="s">
        <v>5</v>
      </c>
      <c r="P6" s="377"/>
      <c r="Q6" s="377"/>
      <c r="R6" s="377"/>
      <c r="S6" s="265"/>
      <c r="T6" s="266"/>
      <c r="U6" s="378" t="s">
        <v>165</v>
      </c>
      <c r="V6" s="378"/>
      <c r="W6" s="378"/>
      <c r="X6" s="379"/>
      <c r="Z6" s="367" t="s">
        <v>5</v>
      </c>
      <c r="AA6" s="367"/>
      <c r="AB6" s="367"/>
      <c r="AD6" s="368" t="s">
        <v>165</v>
      </c>
      <c r="AE6" s="368"/>
      <c r="AF6" s="368"/>
    </row>
    <row r="7" spans="2:32">
      <c r="B7" t="s">
        <v>415</v>
      </c>
      <c r="C7" s="11">
        <f>'JJ Common Size Calculation'!O19</f>
        <v>17941</v>
      </c>
      <c r="D7" s="11">
        <f>'JJ Common Size Calculation'!P19</f>
        <v>20878</v>
      </c>
      <c r="E7" s="11">
        <f>'JJ Common Size Calculation'!Q19</f>
        <v>14714</v>
      </c>
      <c r="F7" s="11">
        <f>'JJ Common Size Calculation'!R19</f>
        <v>15119</v>
      </c>
      <c r="H7" s="10">
        <f>'Trend Analysis Calculation'!AK19</f>
        <v>-49019</v>
      </c>
      <c r="I7" s="10">
        <f>'Trend Analysis Calculation'!AL19</f>
        <v>-38679</v>
      </c>
      <c r="J7" s="10">
        <f>'Trend Analysis Calculation'!AM19</f>
        <v>-14466</v>
      </c>
      <c r="K7" s="10">
        <f>'Trend Analysis Calculation'!AN19</f>
        <v>-31083</v>
      </c>
      <c r="N7" s="267"/>
      <c r="O7" s="2">
        <v>2022</v>
      </c>
      <c r="P7" s="2">
        <v>2021</v>
      </c>
      <c r="Q7" s="2">
        <v>2020</v>
      </c>
      <c r="R7" s="2">
        <v>2019</v>
      </c>
      <c r="T7" s="2"/>
      <c r="U7" s="2">
        <v>2022</v>
      </c>
      <c r="V7" s="2">
        <v>2021</v>
      </c>
      <c r="W7" s="2">
        <v>2020</v>
      </c>
      <c r="X7" s="268">
        <v>2019</v>
      </c>
      <c r="Z7" s="2">
        <v>2022</v>
      </c>
      <c r="AA7" s="2">
        <v>2021</v>
      </c>
      <c r="AB7" s="2">
        <v>2020</v>
      </c>
      <c r="AD7" s="2">
        <v>2022</v>
      </c>
      <c r="AE7" s="2">
        <v>2021</v>
      </c>
      <c r="AF7" s="2">
        <v>2020</v>
      </c>
    </row>
    <row r="8" spans="2:32">
      <c r="B8" t="s">
        <v>416</v>
      </c>
      <c r="C8" s="11">
        <f>'Trend Analysis Calculation'!Z7</f>
        <v>94943</v>
      </c>
      <c r="D8" s="11">
        <f>'Trend Analysis Calculation'!AA7</f>
        <v>93775</v>
      </c>
      <c r="E8" s="11">
        <f>'Trend Analysis Calculation'!AB7</f>
        <v>82584</v>
      </c>
      <c r="F8" s="11">
        <f>'Trend Analysis Calculation'!AC7</f>
        <v>82059</v>
      </c>
      <c r="H8" s="10">
        <f>'Trend Analysis Calculation'!AK7</f>
        <v>313651</v>
      </c>
      <c r="I8" s="10">
        <f>'Trend Analysis Calculation'!AL7</f>
        <v>318639</v>
      </c>
      <c r="J8" s="10">
        <f>'Trend Analysis Calculation'!AM7</f>
        <v>300522</v>
      </c>
      <c r="K8" s="10">
        <f>'Trend Analysis Calculation'!AN7</f>
        <v>235587</v>
      </c>
      <c r="N8" s="260" t="s">
        <v>68</v>
      </c>
      <c r="O8" s="188">
        <f>C9</f>
        <v>0.18896601118565876</v>
      </c>
      <c r="P8" s="188">
        <f t="shared" ref="P8:R8" si="0">D9</f>
        <v>0.22263929618768327</v>
      </c>
      <c r="Q8" s="188">
        <f t="shared" si="0"/>
        <v>0.17817010558946042</v>
      </c>
      <c r="R8" s="188">
        <f t="shared" si="0"/>
        <v>0.18424548190935791</v>
      </c>
      <c r="T8" s="1" t="s">
        <v>68</v>
      </c>
      <c r="U8" s="188">
        <f>H9</f>
        <v>-0.15628517046016113</v>
      </c>
      <c r="V8" s="188">
        <f t="shared" ref="V8:X8" si="1">I9</f>
        <v>-0.12138815399244914</v>
      </c>
      <c r="W8" s="188">
        <f t="shared" si="1"/>
        <v>-4.8136242937289117E-2</v>
      </c>
      <c r="X8" s="301">
        <f t="shared" si="1"/>
        <v>-0.13193851952781774</v>
      </c>
      <c r="Z8" s="42">
        <f t="shared" ref="Z8:AB10" si="2">(O8-P8)/P8</f>
        <v>-0.15124591920034722</v>
      </c>
      <c r="AA8" s="42">
        <f t="shared" si="2"/>
        <v>0.24958839447897488</v>
      </c>
      <c r="AB8" s="42">
        <f t="shared" si="2"/>
        <v>-3.2974357129073893E-2</v>
      </c>
      <c r="AC8" s="42"/>
      <c r="AD8" s="42">
        <f t="shared" ref="AD8:AF10" si="3">(U8-V8)/V8</f>
        <v>0.28748288296634567</v>
      </c>
      <c r="AE8" s="42">
        <f t="shared" si="3"/>
        <v>1.521762119045956</v>
      </c>
      <c r="AF8" s="42">
        <f t="shared" si="3"/>
        <v>-0.63516156532937196</v>
      </c>
    </row>
    <row r="9" spans="2:32" ht="16" thickBot="1">
      <c r="B9" s="241" t="s">
        <v>417</v>
      </c>
      <c r="C9" s="246">
        <f>C7/C8</f>
        <v>0.18896601118565876</v>
      </c>
      <c r="D9" s="246">
        <f t="shared" ref="D9:K9" si="4">D7/D8</f>
        <v>0.22263929618768327</v>
      </c>
      <c r="E9" s="246">
        <f t="shared" si="4"/>
        <v>0.17817010558946042</v>
      </c>
      <c r="F9" s="246">
        <f t="shared" si="4"/>
        <v>0.18424548190935791</v>
      </c>
      <c r="G9" s="246"/>
      <c r="H9" s="246">
        <f>H7/H8</f>
        <v>-0.15628517046016113</v>
      </c>
      <c r="I9" s="246">
        <f t="shared" si="4"/>
        <v>-0.12138815399244914</v>
      </c>
      <c r="J9" s="246">
        <f t="shared" si="4"/>
        <v>-4.8136242937289117E-2</v>
      </c>
      <c r="K9" s="246">
        <f t="shared" si="4"/>
        <v>-0.13193851952781774</v>
      </c>
      <c r="N9" s="260" t="s">
        <v>418</v>
      </c>
      <c r="O9" s="188">
        <f>C13</f>
        <v>0.50669235449198946</v>
      </c>
      <c r="P9" s="188">
        <f t="shared" ref="P9:R9" si="5">D13</f>
        <v>0.51519629926710542</v>
      </c>
      <c r="Q9" s="188">
        <f t="shared" si="5"/>
        <v>0.47219458643521217</v>
      </c>
      <c r="R9" s="188">
        <f t="shared" si="5"/>
        <v>0.5202563907486305</v>
      </c>
      <c r="T9" s="1" t="s">
        <v>418</v>
      </c>
      <c r="U9" s="188">
        <f>H13</f>
        <v>1.3036255346032195</v>
      </c>
      <c r="V9" s="188">
        <f t="shared" ref="V9:X9" si="6">I13</f>
        <v>1.1689013452092283</v>
      </c>
      <c r="W9" s="188">
        <f t="shared" si="6"/>
        <v>1.2483674791884751</v>
      </c>
      <c r="X9" s="301">
        <f t="shared" si="6"/>
        <v>1.0066874054576065</v>
      </c>
      <c r="Z9" s="42">
        <f t="shared" si="2"/>
        <v>-1.6506222554807319E-2</v>
      </c>
      <c r="AA9" s="42">
        <f t="shared" si="2"/>
        <v>9.1067780248245883E-2</v>
      </c>
      <c r="AB9" s="42">
        <f t="shared" si="2"/>
        <v>-9.2380997462153419E-2</v>
      </c>
      <c r="AC9" s="42"/>
      <c r="AD9" s="42">
        <f t="shared" si="3"/>
        <v>0.11525710869113268</v>
      </c>
      <c r="AE9" s="42">
        <f t="shared" si="3"/>
        <v>-6.36560430354252E-2</v>
      </c>
      <c r="AF9" s="42">
        <f t="shared" si="3"/>
        <v>0.24007459755693372</v>
      </c>
    </row>
    <row r="10" spans="2:32">
      <c r="N10" s="260" t="s">
        <v>419</v>
      </c>
      <c r="O10" s="188">
        <f>C17</f>
        <v>2.4396906411124419</v>
      </c>
      <c r="P10" s="188">
        <f t="shared" ref="P10:R10" si="7">D17</f>
        <v>2.4589384380530377</v>
      </c>
      <c r="Q10" s="188">
        <f t="shared" si="7"/>
        <v>2.7638989854293752</v>
      </c>
      <c r="R10" s="188">
        <f t="shared" si="7"/>
        <v>2.6521834171276755</v>
      </c>
      <c r="T10" s="1" t="s">
        <v>419</v>
      </c>
      <c r="U10" s="188">
        <f>H17</f>
        <v>1.6438849412407761</v>
      </c>
      <c r="V10" s="188">
        <f t="shared" ref="V10:X10" si="8">I17</f>
        <v>1.5219869797773387</v>
      </c>
      <c r="W10" s="188">
        <f t="shared" si="8"/>
        <v>1.7247007071264302</v>
      </c>
      <c r="X10" s="301">
        <f t="shared" si="8"/>
        <v>1.6014973276670295</v>
      </c>
      <c r="Z10" s="42">
        <f t="shared" si="2"/>
        <v>-7.827685574688872E-3</v>
      </c>
      <c r="AA10" s="42">
        <f t="shared" si="2"/>
        <v>-0.11033708141434173</v>
      </c>
      <c r="AB10" s="42">
        <f t="shared" si="2"/>
        <v>4.2122112513126295E-2</v>
      </c>
      <c r="AC10" s="42"/>
      <c r="AD10" s="42">
        <f t="shared" si="3"/>
        <v>8.0091330006824821E-2</v>
      </c>
      <c r="AE10" s="42">
        <f t="shared" si="3"/>
        <v>-0.11753559705256821</v>
      </c>
      <c r="AF10" s="42">
        <f t="shared" si="3"/>
        <v>7.6930118665184691E-2</v>
      </c>
    </row>
    <row r="11" spans="2:32">
      <c r="B11" t="s">
        <v>416</v>
      </c>
      <c r="C11" s="10">
        <f>'Trend Analysis Calculation'!Z7</f>
        <v>94943</v>
      </c>
      <c r="D11" s="10">
        <f>'Trend Analysis Calculation'!AA7</f>
        <v>93775</v>
      </c>
      <c r="E11" s="10">
        <f>'Trend Analysis Calculation'!AB7</f>
        <v>82584</v>
      </c>
      <c r="F11" s="10">
        <f>'Trend Analysis Calculation'!AC7</f>
        <v>82059</v>
      </c>
      <c r="H11" s="10">
        <f>'Trend Analysis Calculation'!AK7</f>
        <v>313651</v>
      </c>
      <c r="I11" s="10">
        <f>'Trend Analysis Calculation'!AL7</f>
        <v>318639</v>
      </c>
      <c r="J11" s="10">
        <f>'Trend Analysis Calculation'!AM7</f>
        <v>300522</v>
      </c>
      <c r="K11" s="10">
        <f>'Trend Analysis Calculation'!AN7</f>
        <v>235587</v>
      </c>
      <c r="N11" s="260"/>
      <c r="O11" s="188"/>
      <c r="P11" s="188"/>
      <c r="Q11" s="188"/>
      <c r="R11" s="188"/>
      <c r="T11" s="1"/>
      <c r="U11" s="188"/>
      <c r="V11" s="188"/>
      <c r="W11" s="188"/>
      <c r="X11" s="301"/>
      <c r="Z11" s="42"/>
      <c r="AA11" s="42"/>
      <c r="AB11" s="42"/>
      <c r="AC11" s="42"/>
      <c r="AD11" s="42"/>
      <c r="AE11" s="42"/>
      <c r="AF11" s="42"/>
    </row>
    <row r="12" spans="2:32" ht="16" thickBot="1">
      <c r="B12" t="s">
        <v>200</v>
      </c>
      <c r="C12">
        <f>'Trend Analysis Calculation'!C21</f>
        <v>187378</v>
      </c>
      <c r="D12">
        <f>'Trend Analysis Calculation'!D21</f>
        <v>182018</v>
      </c>
      <c r="E12">
        <f>'Trend Analysis Calculation'!E21</f>
        <v>174894</v>
      </c>
      <c r="F12">
        <f>'Trend Analysis Calculation'!F21</f>
        <v>157728</v>
      </c>
      <c r="H12">
        <f>'Trend Analysis Calculation'!N21</f>
        <v>240599</v>
      </c>
      <c r="I12">
        <f>'Trend Analysis Calculation'!O21</f>
        <v>272597</v>
      </c>
      <c r="J12">
        <f>'Trend Analysis Calculation'!P21</f>
        <v>240732</v>
      </c>
      <c r="K12">
        <f>'Trend Analysis Calculation'!Q21</f>
        <v>234022</v>
      </c>
      <c r="N12" s="245" t="s">
        <v>57</v>
      </c>
      <c r="O12" s="316">
        <f>C21</f>
        <v>0.23359460444768498</v>
      </c>
      <c r="P12" s="316">
        <f t="shared" ref="P12:R12" si="9">D21</f>
        <v>0.28204747173175904</v>
      </c>
      <c r="Q12" s="316">
        <f t="shared" si="9"/>
        <v>0.23252947311861941</v>
      </c>
      <c r="R12" s="316">
        <f t="shared" si="9"/>
        <v>0.25422474819659996</v>
      </c>
      <c r="S12" s="256"/>
      <c r="T12" s="241" t="s">
        <v>57</v>
      </c>
      <c r="U12" s="317">
        <f>H21</f>
        <v>-0.33492074337250616</v>
      </c>
      <c r="V12" s="317">
        <f t="shared" ref="V12:X12" si="10">I21</f>
        <v>-0.21595591437472783</v>
      </c>
      <c r="W12" s="317">
        <f t="shared" si="10"/>
        <v>-0.10364023241318536</v>
      </c>
      <c r="X12" s="318">
        <f t="shared" si="10"/>
        <v>-0.21271222977273194</v>
      </c>
      <c r="Z12" s="42">
        <f>(O12-P12)/P12</f>
        <v>-0.17178975931454227</v>
      </c>
      <c r="AA12" s="42">
        <f>(P12-Q12)/Q12</f>
        <v>0.21295364389304403</v>
      </c>
      <c r="AB12" s="42">
        <f>(Q12-R12)/R12</f>
        <v>-8.5338957878337313E-2</v>
      </c>
      <c r="AC12" s="42"/>
      <c r="AD12" s="42">
        <f>(U12-V12)/V12</f>
        <v>0.55087553097226105</v>
      </c>
      <c r="AE12" s="42">
        <f>(V12-W12)/W12</f>
        <v>1.0837073532773496</v>
      </c>
      <c r="AF12" s="42">
        <f>(W12-X12)/X12</f>
        <v>-0.51276787176779792</v>
      </c>
    </row>
    <row r="13" spans="2:32" ht="16" thickBot="1">
      <c r="B13" s="241" t="s">
        <v>420</v>
      </c>
      <c r="C13" s="246">
        <f>C11/C12</f>
        <v>0.50669235449198946</v>
      </c>
      <c r="D13" s="246">
        <f t="shared" ref="D13:F13" si="11">D11/D12</f>
        <v>0.51519629926710542</v>
      </c>
      <c r="E13" s="246">
        <f t="shared" si="11"/>
        <v>0.47219458643521217</v>
      </c>
      <c r="F13" s="246">
        <f t="shared" si="11"/>
        <v>0.5202563907486305</v>
      </c>
      <c r="G13" s="246"/>
      <c r="H13" s="246">
        <f>H11/H12</f>
        <v>1.3036255346032195</v>
      </c>
      <c r="I13" s="246">
        <f t="shared" ref="I13:K13" si="12">I11/I12</f>
        <v>1.1689013452092283</v>
      </c>
      <c r="J13" s="246">
        <f t="shared" si="12"/>
        <v>1.2483674791884751</v>
      </c>
      <c r="K13" s="246">
        <f t="shared" si="12"/>
        <v>1.0066874054576065</v>
      </c>
    </row>
    <row r="15" spans="2:32">
      <c r="B15" s="47" t="s">
        <v>200</v>
      </c>
      <c r="C15">
        <f>'Trend Analysis Calculation'!C21</f>
        <v>187378</v>
      </c>
      <c r="D15">
        <f>'Trend Analysis Calculation'!D21</f>
        <v>182018</v>
      </c>
      <c r="E15">
        <f>'Trend Analysis Calculation'!E21</f>
        <v>174894</v>
      </c>
      <c r="F15">
        <f>'Trend Analysis Calculation'!F21</f>
        <v>157728</v>
      </c>
      <c r="H15">
        <f>'Trend Analysis Calculation'!N21</f>
        <v>240599</v>
      </c>
      <c r="I15">
        <f>'Trend Analysis Calculation'!O21</f>
        <v>272597</v>
      </c>
      <c r="J15">
        <f>'Trend Analysis Calculation'!P21</f>
        <v>240732</v>
      </c>
      <c r="K15">
        <f>'Trend Analysis Calculation'!Q21</f>
        <v>234022</v>
      </c>
    </row>
    <row r="16" spans="2:32">
      <c r="B16" t="s">
        <v>421</v>
      </c>
      <c r="C16">
        <f>'Trend Analysis Calculation'!C47</f>
        <v>76804</v>
      </c>
      <c r="D16">
        <f>'Trend Analysis Calculation'!D47</f>
        <v>74023</v>
      </c>
      <c r="E16">
        <f>'Trend Analysis Calculation'!E47</f>
        <v>63278</v>
      </c>
      <c r="F16">
        <f>'Trend Analysis Calculation'!F47</f>
        <v>59471</v>
      </c>
      <c r="H16">
        <f>'Trend Analysis Calculation'!N41</f>
        <v>146360</v>
      </c>
      <c r="I16">
        <f>'Trend Analysis Calculation'!O41</f>
        <v>179106</v>
      </c>
      <c r="J16">
        <f>'Trend Analysis Calculation'!P41</f>
        <v>139579</v>
      </c>
      <c r="K16">
        <f>'Trend Analysis Calculation'!Q41</f>
        <v>146127</v>
      </c>
    </row>
    <row r="17" spans="2:11" ht="16" thickBot="1">
      <c r="B17" s="241" t="s">
        <v>419</v>
      </c>
      <c r="C17" s="246">
        <f>C15/C16</f>
        <v>2.4396906411124419</v>
      </c>
      <c r="D17" s="246">
        <f t="shared" ref="D17:F17" si="13">D15/D16</f>
        <v>2.4589384380530377</v>
      </c>
      <c r="E17" s="246">
        <f t="shared" si="13"/>
        <v>2.7638989854293752</v>
      </c>
      <c r="F17" s="246">
        <f t="shared" si="13"/>
        <v>2.6521834171276755</v>
      </c>
      <c r="G17" s="246"/>
      <c r="H17" s="246">
        <f>H15/H16</f>
        <v>1.6438849412407761</v>
      </c>
      <c r="I17" s="246">
        <f t="shared" ref="I17:K17" si="14">I15/I16</f>
        <v>1.5219869797773387</v>
      </c>
      <c r="J17" s="246">
        <f t="shared" si="14"/>
        <v>1.7247007071264302</v>
      </c>
      <c r="K17" s="246">
        <f t="shared" si="14"/>
        <v>1.6014973276670295</v>
      </c>
    </row>
    <row r="18" spans="2:11" ht="16" thickBot="1"/>
    <row r="19" spans="2:11">
      <c r="B19" s="285" t="s">
        <v>422</v>
      </c>
      <c r="C19" s="258"/>
      <c r="D19" s="258"/>
      <c r="E19" s="258"/>
      <c r="F19" s="258"/>
      <c r="G19" s="258"/>
      <c r="H19" s="258"/>
      <c r="I19" s="258"/>
      <c r="J19" s="258"/>
      <c r="K19" s="259"/>
    </row>
    <row r="20" spans="2:11">
      <c r="B20" s="260"/>
      <c r="C20" s="361" t="s">
        <v>423</v>
      </c>
      <c r="D20" s="361"/>
      <c r="E20" s="361"/>
      <c r="F20" s="361"/>
      <c r="G20" s="361"/>
      <c r="H20" s="361"/>
      <c r="I20" s="361"/>
      <c r="J20" s="361"/>
      <c r="K20" s="376"/>
    </row>
    <row r="21" spans="2:11" ht="16" thickBot="1">
      <c r="B21" s="245"/>
      <c r="C21" s="246">
        <f>C9*C13*C17</f>
        <v>0.23359460444768498</v>
      </c>
      <c r="D21" s="246">
        <f>D9*D13*D17</f>
        <v>0.28204747173175904</v>
      </c>
      <c r="E21" s="246">
        <f>E9*E13*E17</f>
        <v>0.23252947311861941</v>
      </c>
      <c r="F21" s="246">
        <f>F9*F13*F17</f>
        <v>0.25422474819659996</v>
      </c>
      <c r="G21" s="246"/>
      <c r="H21" s="246">
        <f>H9*H13*H17</f>
        <v>-0.33492074337250616</v>
      </c>
      <c r="I21" s="246">
        <f>I9*I13*I17</f>
        <v>-0.21595591437472783</v>
      </c>
      <c r="J21" s="246">
        <f>J9*J13*J17</f>
        <v>-0.10364023241318536</v>
      </c>
      <c r="K21" s="247">
        <f>K9*K13*K17</f>
        <v>-0.21271222977273194</v>
      </c>
    </row>
  </sheetData>
  <mergeCells count="9">
    <mergeCell ref="C20:K20"/>
    <mergeCell ref="O6:R6"/>
    <mergeCell ref="U6:X6"/>
    <mergeCell ref="N4:X4"/>
    <mergeCell ref="Z4:AF4"/>
    <mergeCell ref="Z6:AB6"/>
    <mergeCell ref="AD6:AF6"/>
    <mergeCell ref="C4:F4"/>
    <mergeCell ref="H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376C-3D24-B54D-9515-020B587681A7}">
  <dimension ref="B3:AJ61"/>
  <sheetViews>
    <sheetView zoomScale="61" zoomScaleNormal="60" workbookViewId="0">
      <selection activeCell="I54" sqref="I54"/>
    </sheetView>
  </sheetViews>
  <sheetFormatPr baseColWidth="10" defaultColWidth="11.5" defaultRowHeight="15"/>
  <cols>
    <col min="2" max="2" width="56.5" bestFit="1" customWidth="1"/>
    <col min="3" max="6" width="12.5" bestFit="1" customWidth="1"/>
    <col min="8" max="8" width="9" bestFit="1" customWidth="1"/>
    <col min="9" max="9" width="12.1640625" customWidth="1"/>
    <col min="10" max="10" width="12.33203125" customWidth="1"/>
    <col min="11" max="11" width="11.1640625" customWidth="1"/>
    <col min="12" max="12" width="10.83203125" style="165"/>
    <col min="13" max="13" width="10.83203125" style="121"/>
    <col min="14" max="14" width="37.5" bestFit="1" customWidth="1"/>
    <col min="16" max="18" width="12.6640625" bestFit="1" customWidth="1"/>
    <col min="19" max="19" width="11.5" bestFit="1" customWidth="1"/>
    <col min="20" max="20" width="12.6640625" customWidth="1"/>
    <col min="21" max="21" width="12.5" customWidth="1"/>
    <col min="22" max="22" width="12.6640625" customWidth="1"/>
    <col min="23" max="24" width="11.5" bestFit="1" customWidth="1"/>
    <col min="25" max="25" width="10.83203125" style="121"/>
    <col min="26" max="26" width="43.83203125" customWidth="1"/>
    <col min="27" max="30" width="8.5" bestFit="1" customWidth="1"/>
    <col min="32" max="32" width="14.33203125" customWidth="1"/>
    <col min="33" max="33" width="9.83203125" customWidth="1"/>
    <col min="34" max="34" width="10.83203125" customWidth="1"/>
    <col min="35" max="35" width="10.1640625" customWidth="1"/>
    <col min="36" max="36" width="10.83203125" style="165"/>
    <col min="37" max="37" width="10.83203125"/>
    <col min="16378" max="16378" width="11.5" bestFit="1" customWidth="1"/>
    <col min="16379" max="16384" width="11.5" customWidth="1"/>
  </cols>
  <sheetData>
    <row r="3" spans="2:35" ht="16">
      <c r="B3" s="369" t="s">
        <v>232</v>
      </c>
      <c r="C3" s="369"/>
      <c r="D3" s="369"/>
      <c r="E3" s="369"/>
      <c r="F3" s="369"/>
      <c r="H3" s="380" t="s">
        <v>424</v>
      </c>
      <c r="I3" s="380"/>
      <c r="J3" s="380"/>
      <c r="K3" s="380"/>
      <c r="N3" s="381" t="s">
        <v>233</v>
      </c>
      <c r="O3" s="381"/>
      <c r="P3" s="381"/>
      <c r="Q3" s="381"/>
      <c r="R3" s="381"/>
      <c r="T3" s="380" t="s">
        <v>425</v>
      </c>
      <c r="U3" s="380"/>
      <c r="V3" s="380"/>
      <c r="W3" s="380"/>
      <c r="Z3" s="381" t="s">
        <v>234</v>
      </c>
      <c r="AA3" s="381"/>
      <c r="AB3" s="381"/>
      <c r="AC3" s="381"/>
      <c r="AD3" s="381"/>
      <c r="AF3" s="380" t="s">
        <v>426</v>
      </c>
      <c r="AG3" s="380"/>
      <c r="AH3" s="380"/>
      <c r="AI3" s="380"/>
    </row>
    <row r="5" spans="2:35">
      <c r="C5" s="367" t="s">
        <v>5</v>
      </c>
      <c r="D5" s="367"/>
      <c r="E5" s="367"/>
      <c r="F5" s="367"/>
      <c r="H5" s="367" t="s">
        <v>5</v>
      </c>
      <c r="I5" s="367"/>
      <c r="J5" s="367"/>
      <c r="K5" s="367"/>
      <c r="O5" s="367" t="s">
        <v>5</v>
      </c>
      <c r="P5" s="367"/>
      <c r="Q5" s="367"/>
      <c r="R5" s="367"/>
      <c r="T5" s="367" t="s">
        <v>5</v>
      </c>
      <c r="U5" s="367"/>
      <c r="V5" s="367"/>
      <c r="W5" s="367"/>
      <c r="AA5" s="367" t="s">
        <v>5</v>
      </c>
      <c r="AB5" s="367"/>
      <c r="AC5" s="367"/>
      <c r="AD5" s="367"/>
      <c r="AF5" s="367" t="s">
        <v>5</v>
      </c>
      <c r="AG5" s="367"/>
      <c r="AH5" s="367"/>
      <c r="AI5" s="367"/>
    </row>
    <row r="6" spans="2:35" ht="16" thickBot="1">
      <c r="C6" s="2">
        <v>2022</v>
      </c>
      <c r="D6" s="2">
        <v>2021</v>
      </c>
      <c r="E6" s="2">
        <v>2020</v>
      </c>
      <c r="F6" s="2">
        <v>2019</v>
      </c>
      <c r="H6" s="2">
        <v>2022</v>
      </c>
      <c r="I6" s="2">
        <v>2021</v>
      </c>
      <c r="J6" s="2">
        <v>2020</v>
      </c>
      <c r="K6" s="2">
        <v>2019</v>
      </c>
      <c r="O6" s="2">
        <v>2022</v>
      </c>
      <c r="P6" s="2">
        <v>2021</v>
      </c>
      <c r="Q6" s="2">
        <v>2020</v>
      </c>
      <c r="R6" s="2">
        <v>2019</v>
      </c>
      <c r="T6" s="2">
        <v>2022</v>
      </c>
      <c r="U6" s="2">
        <v>2021</v>
      </c>
      <c r="V6" s="2">
        <v>2020</v>
      </c>
      <c r="W6" s="2">
        <v>2019</v>
      </c>
      <c r="AA6" s="2">
        <v>2022</v>
      </c>
      <c r="AB6" s="2">
        <v>2021</v>
      </c>
      <c r="AC6" s="2">
        <v>2020</v>
      </c>
      <c r="AD6" s="2">
        <v>2019</v>
      </c>
      <c r="AF6" s="2">
        <v>2022</v>
      </c>
      <c r="AG6" s="2">
        <v>2021</v>
      </c>
      <c r="AH6" s="2">
        <v>2020</v>
      </c>
      <c r="AI6" s="2">
        <v>2019</v>
      </c>
    </row>
    <row r="7" spans="2:35" ht="17" thickBot="1">
      <c r="B7" s="200" t="s">
        <v>235</v>
      </c>
      <c r="H7" s="43"/>
      <c r="I7" s="43"/>
      <c r="J7" s="43"/>
      <c r="K7" s="43"/>
      <c r="N7" s="172" t="s">
        <v>236</v>
      </c>
      <c r="O7" s="210">
        <v>94943</v>
      </c>
      <c r="P7" s="210">
        <v>93775</v>
      </c>
      <c r="Q7" s="210">
        <v>82584</v>
      </c>
      <c r="R7" s="210">
        <v>82059</v>
      </c>
      <c r="S7" s="196"/>
      <c r="T7" s="212">
        <f t="shared" ref="T7:T17" si="0">O7/$O$7</f>
        <v>1</v>
      </c>
      <c r="U7" s="212">
        <f t="shared" ref="U7:U17" si="1">P7/$P$7</f>
        <v>1</v>
      </c>
      <c r="V7" s="212">
        <f t="shared" ref="V7:V17" si="2">Q7/$Q$7</f>
        <v>1</v>
      </c>
      <c r="W7" s="212">
        <f t="shared" ref="W7:W17" si="3">R7/$R$7</f>
        <v>1</v>
      </c>
      <c r="Z7" s="200" t="s">
        <v>237</v>
      </c>
    </row>
    <row r="8" spans="2:35" ht="16">
      <c r="B8" s="200" t="s">
        <v>238</v>
      </c>
      <c r="H8" s="43"/>
      <c r="I8" s="43"/>
      <c r="J8" s="43"/>
      <c r="K8" s="43"/>
      <c r="N8" s="196" t="s">
        <v>239</v>
      </c>
      <c r="O8">
        <v>-31089</v>
      </c>
      <c r="P8">
        <v>-29855</v>
      </c>
      <c r="Q8">
        <v>-28427</v>
      </c>
      <c r="R8">
        <v>-27556</v>
      </c>
      <c r="T8" s="42">
        <f t="shared" si="0"/>
        <v>-0.32744910103957109</v>
      </c>
      <c r="U8" s="42">
        <f t="shared" si="1"/>
        <v>-0.31836843508397761</v>
      </c>
      <c r="V8" s="42">
        <f t="shared" si="2"/>
        <v>-0.34421921921921922</v>
      </c>
      <c r="W8" s="42">
        <f t="shared" si="3"/>
        <v>-0.33580716313871728</v>
      </c>
      <c r="Z8" s="196" t="s">
        <v>240</v>
      </c>
      <c r="AA8" s="194">
        <v>17941</v>
      </c>
      <c r="AB8" s="194">
        <v>20878</v>
      </c>
      <c r="AC8" s="194">
        <v>14714</v>
      </c>
      <c r="AD8" s="194">
        <v>15119</v>
      </c>
      <c r="AF8" s="42">
        <f>AA8/$AA$23</f>
        <v>0.846513164103048</v>
      </c>
      <c r="AG8" s="42">
        <f>AB8/$AB$23</f>
        <v>0.89184109354976504</v>
      </c>
      <c r="AH8" s="42">
        <f t="shared" ref="AH8:AH23" si="4">AC8/$AC$23</f>
        <v>0.62516995241332429</v>
      </c>
      <c r="AI8" s="42">
        <f>AD8/$AD$23</f>
        <v>0.64566962760505642</v>
      </c>
    </row>
    <row r="9" spans="2:35" ht="16">
      <c r="B9" s="163" t="s">
        <v>242</v>
      </c>
      <c r="C9" s="164">
        <v>14127</v>
      </c>
      <c r="D9" s="37">
        <v>14487</v>
      </c>
      <c r="E9">
        <v>13985</v>
      </c>
      <c r="F9">
        <v>17305</v>
      </c>
      <c r="H9" s="42">
        <f>C9/$C$21</f>
        <v>7.5393055748273541E-2</v>
      </c>
      <c r="I9" s="42">
        <f>D9/$D$21</f>
        <v>7.9591029458624965E-2</v>
      </c>
      <c r="J9" s="42">
        <f>E9/$E$21</f>
        <v>7.9962720276281637E-2</v>
      </c>
      <c r="K9" s="42">
        <f>F9/$F$21</f>
        <v>0.10971419151957801</v>
      </c>
      <c r="N9" s="197" t="s">
        <v>179</v>
      </c>
      <c r="O9" s="214">
        <f>O7+O8</f>
        <v>63854</v>
      </c>
      <c r="P9" s="214">
        <f>P7+P8</f>
        <v>63920</v>
      </c>
      <c r="Q9" s="214">
        <f>Q7+Q8</f>
        <v>54157</v>
      </c>
      <c r="R9" s="214">
        <f>R7+R8</f>
        <v>54503</v>
      </c>
      <c r="S9" s="196"/>
      <c r="T9" s="215">
        <f t="shared" si="0"/>
        <v>0.67255089896042886</v>
      </c>
      <c r="U9" s="215">
        <f t="shared" si="1"/>
        <v>0.68163156491602239</v>
      </c>
      <c r="V9" s="215">
        <f t="shared" si="2"/>
        <v>0.65578078078078073</v>
      </c>
      <c r="W9" s="215">
        <f t="shared" si="3"/>
        <v>0.66419283686128272</v>
      </c>
      <c r="Z9" s="196" t="s">
        <v>243</v>
      </c>
      <c r="AF9" s="42">
        <f>AA9/$AA$23</f>
        <v>0</v>
      </c>
      <c r="AG9" s="42">
        <f>AB9/$AB$23</f>
        <v>0</v>
      </c>
      <c r="AH9" s="42">
        <f t="shared" si="4"/>
        <v>0</v>
      </c>
      <c r="AI9" s="42">
        <f>AD9/$AD$23</f>
        <v>0</v>
      </c>
    </row>
    <row r="10" spans="2:35" ht="16">
      <c r="B10" s="163" t="s">
        <v>245</v>
      </c>
      <c r="C10" s="164">
        <v>9392</v>
      </c>
      <c r="D10">
        <v>17121</v>
      </c>
      <c r="E10">
        <v>11200</v>
      </c>
      <c r="F10">
        <v>1982</v>
      </c>
      <c r="H10" s="42">
        <f>C10/$C$21</f>
        <v>5.0123280214326119E-2</v>
      </c>
      <c r="I10" s="42">
        <f>D10/$D$21</f>
        <v>9.4062125723829507E-2</v>
      </c>
      <c r="J10" s="42">
        <f>E10/$E$21</f>
        <v>6.4038789209464014E-2</v>
      </c>
      <c r="K10" s="42">
        <f>F10/$F$21</f>
        <v>1.2565936295394603E-2</v>
      </c>
      <c r="N10" s="196" t="s">
        <v>247</v>
      </c>
      <c r="O10">
        <v>-24765</v>
      </c>
      <c r="P10">
        <v>-24659</v>
      </c>
      <c r="Q10">
        <v>-22084</v>
      </c>
      <c r="R10">
        <v>-22178</v>
      </c>
      <c r="T10" s="42">
        <f t="shared" si="0"/>
        <v>-0.26084071495528899</v>
      </c>
      <c r="U10" s="42">
        <f t="shared" si="1"/>
        <v>-0.26295921087709945</v>
      </c>
      <c r="V10" s="42">
        <f t="shared" si="2"/>
        <v>-0.26741257386418676</v>
      </c>
      <c r="W10" s="42">
        <f t="shared" si="3"/>
        <v>-0.27026895282662472</v>
      </c>
      <c r="Z10" s="196" t="s">
        <v>248</v>
      </c>
      <c r="AA10" s="194">
        <v>6970</v>
      </c>
      <c r="AB10" s="194">
        <v>7390</v>
      </c>
      <c r="AC10" s="194">
        <v>7231</v>
      </c>
      <c r="AD10" s="194">
        <v>7009</v>
      </c>
      <c r="AF10" s="42">
        <f>AA10/$AA$23</f>
        <v>0.32886666037557799</v>
      </c>
      <c r="AG10" s="42">
        <f>AB10/$AB$23</f>
        <v>0.31567706108500643</v>
      </c>
      <c r="AH10" s="42">
        <f t="shared" si="4"/>
        <v>0.30723147518694766</v>
      </c>
      <c r="AI10" s="42">
        <f>AD10/$AD$23</f>
        <v>0.29932524769388452</v>
      </c>
    </row>
    <row r="11" spans="2:35" ht="16">
      <c r="B11" s="163" t="s">
        <v>250</v>
      </c>
      <c r="C11" s="164">
        <v>16160</v>
      </c>
      <c r="D11" s="10">
        <v>15283</v>
      </c>
      <c r="E11">
        <v>13576</v>
      </c>
      <c r="F11">
        <v>14481</v>
      </c>
      <c r="H11" s="42">
        <f>C11/$C$21</f>
        <v>8.624278197013524E-2</v>
      </c>
      <c r="I11" s="42">
        <f>D11/$D$21</f>
        <v>8.3964223318572895E-2</v>
      </c>
      <c r="J11" s="42">
        <f>E11/$E$21</f>
        <v>7.762416092032888E-2</v>
      </c>
      <c r="K11" s="42">
        <f t="shared" ref="K11:K13" si="5">F11/$F$21</f>
        <v>9.1809951308581869E-2</v>
      </c>
      <c r="N11" s="196" t="s">
        <v>252</v>
      </c>
      <c r="O11">
        <v>-15386</v>
      </c>
      <c r="P11">
        <v>-14714</v>
      </c>
      <c r="Q11">
        <v>-12159</v>
      </c>
      <c r="R11">
        <v>-11355</v>
      </c>
      <c r="T11" s="42">
        <f t="shared" si="0"/>
        <v>-0.16205512781353024</v>
      </c>
      <c r="U11" s="42">
        <f t="shared" si="1"/>
        <v>-0.15690749133564383</v>
      </c>
      <c r="V11" s="42">
        <f t="shared" si="2"/>
        <v>-0.14723190932868352</v>
      </c>
      <c r="W11" s="42">
        <f t="shared" si="3"/>
        <v>-0.13837604650312579</v>
      </c>
      <c r="Z11" s="196" t="s">
        <v>253</v>
      </c>
      <c r="AA11" s="194">
        <v>1138</v>
      </c>
      <c r="AB11" s="194">
        <v>1135</v>
      </c>
      <c r="AC11" s="194">
        <v>1005</v>
      </c>
      <c r="AD11" s="194">
        <v>977</v>
      </c>
      <c r="AF11" s="42">
        <f>AA11/$AA$23</f>
        <v>5.3694441823157496E-2</v>
      </c>
      <c r="AG11" s="42">
        <f>AB11/$AB$23</f>
        <v>4.8483554036736438E-2</v>
      </c>
      <c r="AH11" s="42">
        <f t="shared" si="4"/>
        <v>4.2700543847722636E-2</v>
      </c>
      <c r="AI11" s="42">
        <f>AD11/$AD$23</f>
        <v>4.1723607789545612E-2</v>
      </c>
    </row>
    <row r="12" spans="2:35" ht="16">
      <c r="B12" s="163" t="s">
        <v>169</v>
      </c>
      <c r="C12" s="164">
        <v>12483</v>
      </c>
      <c r="D12">
        <v>10387</v>
      </c>
      <c r="E12">
        <v>9344</v>
      </c>
      <c r="F12">
        <v>9020</v>
      </c>
      <c r="H12" s="42">
        <f>C12/$C$21</f>
        <v>6.6619346988440478E-2</v>
      </c>
      <c r="I12" s="42">
        <f>D12/$D$21</f>
        <v>5.7065784702611831E-2</v>
      </c>
      <c r="J12" s="42">
        <f>E12/$E$21</f>
        <v>5.3426646997609982E-2</v>
      </c>
      <c r="K12" s="42">
        <f t="shared" si="5"/>
        <v>5.7187056198011767E-2</v>
      </c>
      <c r="N12" s="197" t="s">
        <v>256</v>
      </c>
      <c r="O12" s="214">
        <f>O10+O11</f>
        <v>-40151</v>
      </c>
      <c r="P12" s="214">
        <f>P10+P11</f>
        <v>-39373</v>
      </c>
      <c r="Q12" s="214">
        <f>Q10+Q11</f>
        <v>-34243</v>
      </c>
      <c r="R12" s="214">
        <f>R10+R11</f>
        <v>-33533</v>
      </c>
      <c r="S12" s="196"/>
      <c r="T12" s="215">
        <f t="shared" si="0"/>
        <v>-0.4228958427688192</v>
      </c>
      <c r="U12" s="215">
        <f t="shared" si="1"/>
        <v>-0.41986670221274325</v>
      </c>
      <c r="V12" s="215">
        <f t="shared" si="2"/>
        <v>-0.41464448319287028</v>
      </c>
      <c r="W12" s="215">
        <f t="shared" si="3"/>
        <v>-0.40864499932975057</v>
      </c>
      <c r="Z12" s="196" t="s">
        <v>257</v>
      </c>
      <c r="AA12" s="194">
        <v>1216</v>
      </c>
      <c r="AB12" s="194">
        <v>989</v>
      </c>
      <c r="AC12" s="194">
        <v>233</v>
      </c>
      <c r="AD12" s="194">
        <v>1096</v>
      </c>
      <c r="AF12" s="42">
        <f>AA12/$AA$23</f>
        <v>5.7374728696800985E-2</v>
      </c>
      <c r="AG12" s="42">
        <f>AB12/$AB$23</f>
        <v>4.2246903032891928E-2</v>
      </c>
      <c r="AH12" s="42">
        <f t="shared" si="4"/>
        <v>9.8997280761386804E-3</v>
      </c>
      <c r="AI12" s="42">
        <f>AD12/$AD$23</f>
        <v>4.6805603006491288E-2</v>
      </c>
    </row>
    <row r="13" spans="2:35" ht="16">
      <c r="B13" s="163" t="s">
        <v>259</v>
      </c>
      <c r="C13" s="164">
        <v>3132</v>
      </c>
      <c r="D13">
        <v>3701</v>
      </c>
      <c r="E13">
        <v>3132</v>
      </c>
      <c r="F13">
        <v>2392</v>
      </c>
      <c r="H13" s="42">
        <f>C13/$C$21</f>
        <v>1.6714875812528684E-2</v>
      </c>
      <c r="I13" s="42">
        <f>D13/$D$21</f>
        <v>2.033315386390357E-2</v>
      </c>
      <c r="J13" s="42">
        <f>E13/$E$21</f>
        <v>1.7907989982503689E-2</v>
      </c>
      <c r="K13" s="42">
        <f t="shared" si="5"/>
        <v>1.5165347940758774E-2</v>
      </c>
      <c r="N13" s="197" t="s">
        <v>180</v>
      </c>
      <c r="O13" s="214">
        <f>O9+O12</f>
        <v>23703</v>
      </c>
      <c r="P13" s="214">
        <f>P9+P12</f>
        <v>24547</v>
      </c>
      <c r="Q13" s="214">
        <f>Q9+Q12</f>
        <v>19914</v>
      </c>
      <c r="R13" s="214">
        <f>R9+R12</f>
        <v>20970</v>
      </c>
      <c r="S13" s="196"/>
      <c r="T13" s="215">
        <f t="shared" si="0"/>
        <v>0.24965505619160971</v>
      </c>
      <c r="U13" s="215">
        <f t="shared" si="1"/>
        <v>0.26176486270327914</v>
      </c>
      <c r="V13" s="215">
        <f t="shared" si="2"/>
        <v>0.2411362975879105</v>
      </c>
      <c r="W13" s="215">
        <f t="shared" si="3"/>
        <v>0.25554783753153221</v>
      </c>
      <c r="Z13" s="196" t="s">
        <v>260</v>
      </c>
      <c r="AA13" s="195" t="s">
        <v>49</v>
      </c>
      <c r="AB13" s="195" t="s">
        <v>49</v>
      </c>
      <c r="AC13" s="194">
        <v>-1148</v>
      </c>
      <c r="AD13" s="195" t="s">
        <v>49</v>
      </c>
      <c r="AF13" s="42"/>
      <c r="AG13" s="42"/>
      <c r="AH13" s="42">
        <f t="shared" si="4"/>
        <v>-4.8776342624065265E-2</v>
      </c>
      <c r="AI13" s="42"/>
    </row>
    <row r="14" spans="2:35" ht="16">
      <c r="B14" s="163" t="s">
        <v>262</v>
      </c>
      <c r="C14" s="164" t="s">
        <v>49</v>
      </c>
      <c r="D14" t="s">
        <v>49</v>
      </c>
      <c r="E14" t="s">
        <v>49</v>
      </c>
      <c r="F14">
        <v>94</v>
      </c>
      <c r="H14" s="42"/>
      <c r="I14" s="42"/>
      <c r="J14" s="42"/>
      <c r="K14" s="42"/>
      <c r="N14" s="196" t="s">
        <v>264</v>
      </c>
      <c r="O14" s="10">
        <v>214</v>
      </c>
      <c r="P14" s="10">
        <v>-130</v>
      </c>
      <c r="Q14" s="10">
        <v>-90</v>
      </c>
      <c r="R14" s="10">
        <v>39</v>
      </c>
      <c r="T14" s="42">
        <f t="shared" si="0"/>
        <v>2.2539839693289658E-3</v>
      </c>
      <c r="U14" s="42">
        <f t="shared" si="1"/>
        <v>-1.3862969874700081E-3</v>
      </c>
      <c r="V14" s="42">
        <f t="shared" si="2"/>
        <v>-1.089799476896251E-3</v>
      </c>
      <c r="W14" s="42">
        <f t="shared" si="3"/>
        <v>4.7526779512302122E-4</v>
      </c>
      <c r="Z14" s="196" t="s">
        <v>265</v>
      </c>
      <c r="AA14" s="194">
        <v>-380</v>
      </c>
      <c r="AB14" s="194">
        <v>-617</v>
      </c>
      <c r="AC14" s="194">
        <v>-111</v>
      </c>
      <c r="AD14" s="194">
        <v>-2154</v>
      </c>
      <c r="AF14" s="42">
        <f t="shared" ref="AF14:AF23" si="6">AA14/$AA$23</f>
        <v>-1.7929602717750306E-2</v>
      </c>
      <c r="AG14" s="42">
        <f t="shared" ref="AG14:AG23" si="7">AB14/$AB$23</f>
        <v>-2.6356258009397695E-2</v>
      </c>
      <c r="AH14" s="42">
        <f t="shared" si="4"/>
        <v>-4.7161794697484702E-3</v>
      </c>
      <c r="AI14" s="42">
        <f t="shared" ref="AI14:AI23" si="8">AD14/$AD$23</f>
        <v>-9.1988384010932692E-2</v>
      </c>
    </row>
    <row r="15" spans="2:35" ht="17" thickBot="1">
      <c r="B15" s="208" t="s">
        <v>266</v>
      </c>
      <c r="C15" s="169">
        <f>SUM(C9:C14)</f>
        <v>55294</v>
      </c>
      <c r="D15" s="201">
        <f>SUM(D9:D14)</f>
        <v>60979</v>
      </c>
      <c r="E15" s="201">
        <f>SUM(E9:E14)</f>
        <v>51237</v>
      </c>
      <c r="F15" s="201">
        <f>SUM(F9:F14)</f>
        <v>45274</v>
      </c>
      <c r="G15" s="200"/>
      <c r="H15" s="220">
        <f t="shared" ref="H15:H21" si="9">C15/$C$21</f>
        <v>0.29509334073370408</v>
      </c>
      <c r="I15" s="220">
        <f t="shared" ref="I15:I21" si="10">D15/$D$21</f>
        <v>0.33501631706754276</v>
      </c>
      <c r="J15" s="220">
        <f t="shared" ref="J15:J21" si="11">E15/$E$21</f>
        <v>0.29296030738618822</v>
      </c>
      <c r="K15" s="220">
        <f>F15/$F$21</f>
        <v>0.28703844593223776</v>
      </c>
      <c r="N15" s="196" t="s">
        <v>267</v>
      </c>
      <c r="O15" s="10">
        <v>-2192</v>
      </c>
      <c r="P15" s="10">
        <v>-1641</v>
      </c>
      <c r="Q15" s="10">
        <v>-3327</v>
      </c>
      <c r="R15" s="10">
        <v>-3681</v>
      </c>
      <c r="T15" s="42">
        <f t="shared" si="0"/>
        <v>-2.3087536732565854E-2</v>
      </c>
      <c r="U15" s="42">
        <f t="shared" si="1"/>
        <v>-1.7499333511063718E-2</v>
      </c>
      <c r="V15" s="42">
        <f t="shared" si="2"/>
        <v>-4.0286253995931415E-2</v>
      </c>
      <c r="W15" s="42">
        <f t="shared" si="3"/>
        <v>-4.4857968047380542E-2</v>
      </c>
      <c r="Z15" s="196" t="s">
        <v>268</v>
      </c>
      <c r="AA15" s="194">
        <v>-1663</v>
      </c>
      <c r="AB15" s="194">
        <v>-2079</v>
      </c>
      <c r="AC15" s="194">
        <v>-1141</v>
      </c>
      <c r="AD15" s="194">
        <v>-2476</v>
      </c>
      <c r="AF15" s="42">
        <f t="shared" si="6"/>
        <v>-7.8465603472680945E-2</v>
      </c>
      <c r="AG15" s="42">
        <f t="shared" si="7"/>
        <v>-8.8808201623237937E-2</v>
      </c>
      <c r="AH15" s="42">
        <f t="shared" si="4"/>
        <v>-4.8478925900747788E-2</v>
      </c>
      <c r="AI15" s="42">
        <f t="shared" si="8"/>
        <v>-0.10573966518619747</v>
      </c>
    </row>
    <row r="16" spans="2:35" ht="16">
      <c r="B16" s="163" t="s">
        <v>269</v>
      </c>
      <c r="C16" s="164">
        <v>19803</v>
      </c>
      <c r="D16" s="164">
        <v>18962</v>
      </c>
      <c r="E16" s="164">
        <v>18766</v>
      </c>
      <c r="F16" s="164">
        <v>17658</v>
      </c>
      <c r="H16" s="173">
        <f t="shared" si="9"/>
        <v>0.10568476555412054</v>
      </c>
      <c r="I16" s="173">
        <f t="shared" si="10"/>
        <v>0.10417651001549297</v>
      </c>
      <c r="J16" s="173">
        <f t="shared" si="11"/>
        <v>0.10729927842007159</v>
      </c>
      <c r="K16" s="173">
        <f>F16/$F$21</f>
        <v>0.11195222154595252</v>
      </c>
      <c r="N16" s="197" t="s">
        <v>271</v>
      </c>
      <c r="O16" s="214">
        <f>SUM(O13:O15)</f>
        <v>21725</v>
      </c>
      <c r="P16" s="214">
        <f>SUM(P13:P15)</f>
        <v>22776</v>
      </c>
      <c r="Q16" s="214">
        <f>SUM(Q13:Q15)</f>
        <v>16497</v>
      </c>
      <c r="R16" s="214">
        <f>SUM(R13:R15)</f>
        <v>17328</v>
      </c>
      <c r="S16" s="196"/>
      <c r="T16" s="215">
        <f t="shared" si="0"/>
        <v>0.22882150342837282</v>
      </c>
      <c r="U16" s="215">
        <f t="shared" si="1"/>
        <v>0.24287923220474539</v>
      </c>
      <c r="V16" s="215">
        <f t="shared" si="2"/>
        <v>0.19976024411508284</v>
      </c>
      <c r="W16" s="215">
        <f t="shared" si="3"/>
        <v>0.21116513727927466</v>
      </c>
      <c r="Z16" s="196" t="s">
        <v>272</v>
      </c>
      <c r="AA16" s="194">
        <v>-17</v>
      </c>
      <c r="AB16" s="194">
        <v>-48</v>
      </c>
      <c r="AC16" s="194">
        <v>63</v>
      </c>
      <c r="AD16" s="194">
        <v>-20</v>
      </c>
      <c r="AF16" s="42">
        <f t="shared" si="6"/>
        <v>-8.0211380579409272E-4</v>
      </c>
      <c r="AG16" s="42">
        <f t="shared" si="7"/>
        <v>-2.0504058094831267E-3</v>
      </c>
      <c r="AH16" s="42">
        <f t="shared" si="4"/>
        <v>2.6767505098572401E-3</v>
      </c>
      <c r="AI16" s="42">
        <f t="shared" si="8"/>
        <v>-8.5411684318414764E-4</v>
      </c>
    </row>
    <row r="17" spans="2:35" ht="16">
      <c r="B17" s="163" t="s">
        <v>274</v>
      </c>
      <c r="C17" s="164">
        <v>48325</v>
      </c>
      <c r="D17" s="164">
        <v>46392</v>
      </c>
      <c r="E17" s="164">
        <v>53402</v>
      </c>
      <c r="F17" s="164">
        <v>47643</v>
      </c>
      <c r="H17" s="173">
        <f t="shared" si="9"/>
        <v>0.25790114100908323</v>
      </c>
      <c r="I17" s="173">
        <f t="shared" si="10"/>
        <v>0.25487589139535649</v>
      </c>
      <c r="J17" s="173">
        <f t="shared" si="11"/>
        <v>0.30533923405033908</v>
      </c>
      <c r="K17" s="173">
        <f t="shared" ref="K17:K19" si="12">F17/$F$21</f>
        <v>0.30205797321972</v>
      </c>
      <c r="N17" s="196" t="s">
        <v>276</v>
      </c>
      <c r="O17">
        <v>-3784</v>
      </c>
      <c r="P17">
        <v>-1898</v>
      </c>
      <c r="Q17">
        <v>-1783</v>
      </c>
      <c r="R17">
        <v>-2209</v>
      </c>
      <c r="T17" s="42">
        <f t="shared" si="0"/>
        <v>-3.985549224271405E-2</v>
      </c>
      <c r="U17" s="42">
        <f t="shared" si="1"/>
        <v>-2.0239936017062116E-2</v>
      </c>
      <c r="V17" s="42">
        <f t="shared" si="2"/>
        <v>-2.1590138525622398E-2</v>
      </c>
      <c r="W17" s="42">
        <f t="shared" si="3"/>
        <v>-2.6919655369916768E-2</v>
      </c>
      <c r="Z17" s="196" t="s">
        <v>277</v>
      </c>
      <c r="AA17" s="194"/>
      <c r="AB17" s="194"/>
      <c r="AC17" s="194"/>
      <c r="AD17" s="194"/>
      <c r="AF17" s="42">
        <f t="shared" si="6"/>
        <v>0</v>
      </c>
      <c r="AG17" s="42">
        <f t="shared" si="7"/>
        <v>0</v>
      </c>
      <c r="AH17" s="42">
        <f t="shared" si="4"/>
        <v>0</v>
      </c>
      <c r="AI17" s="42">
        <f t="shared" si="8"/>
        <v>0</v>
      </c>
    </row>
    <row r="18" spans="2:35" ht="17" thickBot="1">
      <c r="B18" s="163" t="s">
        <v>279</v>
      </c>
      <c r="C18" s="164">
        <v>45231</v>
      </c>
      <c r="D18" s="164">
        <v>35246</v>
      </c>
      <c r="E18" s="164">
        <v>36393</v>
      </c>
      <c r="F18" s="164">
        <v>33639</v>
      </c>
      <c r="H18" s="173">
        <f t="shared" si="9"/>
        <v>0.24138906381752392</v>
      </c>
      <c r="I18" s="173">
        <f t="shared" si="10"/>
        <v>0.19364018943181444</v>
      </c>
      <c r="J18" s="173">
        <f t="shared" si="11"/>
        <v>0.20808604068750214</v>
      </c>
      <c r="K18" s="173">
        <f t="shared" si="12"/>
        <v>0.21327221545952527</v>
      </c>
      <c r="N18" s="196" t="s">
        <v>281</v>
      </c>
      <c r="O18" s="120" t="s">
        <v>49</v>
      </c>
      <c r="P18" s="120" t="s">
        <v>49</v>
      </c>
      <c r="Q18" s="120" t="s">
        <v>49</v>
      </c>
      <c r="R18" s="120" t="s">
        <v>49</v>
      </c>
      <c r="T18" s="42"/>
      <c r="U18" s="42"/>
      <c r="V18" s="42"/>
      <c r="W18" s="42"/>
      <c r="Z18" s="196" t="s">
        <v>282</v>
      </c>
      <c r="AA18" s="194">
        <v>-1290</v>
      </c>
      <c r="AB18" s="194">
        <v>-2402</v>
      </c>
      <c r="AC18" s="194">
        <v>774</v>
      </c>
      <c r="AD18" s="194">
        <v>-289</v>
      </c>
      <c r="AF18" s="42">
        <f t="shared" si="6"/>
        <v>-6.086628291025762E-2</v>
      </c>
      <c r="AG18" s="42">
        <f t="shared" si="7"/>
        <v>-0.10260572404955147</v>
      </c>
      <c r="AH18" s="42">
        <f t="shared" si="4"/>
        <v>3.2885791978246093E-2</v>
      </c>
      <c r="AI18" s="42">
        <f t="shared" si="8"/>
        <v>-1.2341988384010932E-2</v>
      </c>
    </row>
    <row r="19" spans="2:35" ht="17" thickBot="1">
      <c r="B19" s="163" t="s">
        <v>284</v>
      </c>
      <c r="C19" s="164">
        <v>9123</v>
      </c>
      <c r="D19" s="164">
        <v>10223</v>
      </c>
      <c r="E19" s="164">
        <v>8534</v>
      </c>
      <c r="F19" s="164">
        <v>7819</v>
      </c>
      <c r="H19" s="173">
        <f t="shared" si="9"/>
        <v>4.8687679450095528E-2</v>
      </c>
      <c r="I19" s="173">
        <f t="shared" si="10"/>
        <v>5.6164774912371304E-2</v>
      </c>
      <c r="J19" s="173">
        <f t="shared" si="11"/>
        <v>4.879527027799696E-2</v>
      </c>
      <c r="K19" s="173">
        <f t="shared" si="12"/>
        <v>4.9572682085615744E-2</v>
      </c>
      <c r="N19" s="199" t="s">
        <v>285</v>
      </c>
      <c r="O19" s="210">
        <f>SUM(O16:O18)</f>
        <v>17941</v>
      </c>
      <c r="P19" s="210">
        <f>SUM(P16:P18)</f>
        <v>20878</v>
      </c>
      <c r="Q19" s="210">
        <f>SUM(Q16:Q18)</f>
        <v>14714</v>
      </c>
      <c r="R19" s="213">
        <f>SUM(R16:R18)</f>
        <v>15119</v>
      </c>
      <c r="S19" s="196"/>
      <c r="T19" s="212">
        <f>O19/$O$7</f>
        <v>0.18896601118565876</v>
      </c>
      <c r="U19" s="212">
        <f>P19/$P$7</f>
        <v>0.22263929618768327</v>
      </c>
      <c r="V19" s="212">
        <f>Q19/$Q$7</f>
        <v>0.17817010558946042</v>
      </c>
      <c r="W19" s="212">
        <f>R19/$R$7</f>
        <v>0.18424548190935791</v>
      </c>
      <c r="Z19" s="196" t="s">
        <v>286</v>
      </c>
      <c r="AA19" s="194">
        <v>-2527</v>
      </c>
      <c r="AB19" s="194">
        <v>-1248</v>
      </c>
      <c r="AC19" s="194">
        <v>-265</v>
      </c>
      <c r="AD19" s="194">
        <v>-277</v>
      </c>
      <c r="AF19" s="42">
        <f t="shared" si="6"/>
        <v>-0.11923185807303954</v>
      </c>
      <c r="AG19" s="42">
        <f t="shared" si="7"/>
        <v>-5.3310551046561301E-2</v>
      </c>
      <c r="AH19" s="42">
        <f t="shared" si="4"/>
        <v>-1.1259347382732834E-2</v>
      </c>
      <c r="AI19" s="42">
        <f t="shared" si="8"/>
        <v>-1.1829518278100444E-2</v>
      </c>
    </row>
    <row r="20" spans="2:35" ht="17" thickBot="1">
      <c r="B20" s="196" t="s">
        <v>288</v>
      </c>
      <c r="C20" s="164">
        <v>9602</v>
      </c>
      <c r="D20" s="164">
        <v>10216</v>
      </c>
      <c r="E20" s="164">
        <v>6562</v>
      </c>
      <c r="F20" s="164">
        <v>5695</v>
      </c>
      <c r="H20" s="173">
        <f t="shared" si="9"/>
        <v>5.1244009435472679E-2</v>
      </c>
      <c r="I20" s="173">
        <f t="shared" si="10"/>
        <v>5.6126317177422017E-2</v>
      </c>
      <c r="J20" s="173">
        <f t="shared" si="11"/>
        <v>3.7519869177902045E-2</v>
      </c>
      <c r="K20" s="173">
        <f>F20/$F$21</f>
        <v>3.610646175694867E-2</v>
      </c>
      <c r="N20" s="200"/>
      <c r="O20" s="185"/>
      <c r="P20" s="185"/>
      <c r="Q20" s="185"/>
      <c r="R20" s="185"/>
      <c r="T20" s="42"/>
      <c r="U20" s="42"/>
      <c r="V20" s="42"/>
      <c r="W20" s="42"/>
      <c r="Z20" s="196" t="s">
        <v>290</v>
      </c>
      <c r="AA20" s="194">
        <v>1098</v>
      </c>
      <c r="AB20" s="194">
        <v>2437</v>
      </c>
      <c r="AC20" s="194">
        <v>5141</v>
      </c>
      <c r="AD20" s="194">
        <v>4060</v>
      </c>
      <c r="AF20" s="42">
        <f t="shared" si="6"/>
        <v>5.1807115221289043E-2</v>
      </c>
      <c r="AG20" s="42">
        <f t="shared" si="7"/>
        <v>0.10410081161896625</v>
      </c>
      <c r="AH20" s="42">
        <f t="shared" si="4"/>
        <v>0.21843133922501701</v>
      </c>
      <c r="AI20" s="42">
        <f t="shared" si="8"/>
        <v>0.17338571916638196</v>
      </c>
    </row>
    <row r="21" spans="2:35" ht="17" thickBot="1">
      <c r="B21" s="167" t="s">
        <v>200</v>
      </c>
      <c r="C21" s="206">
        <f>SUM(C15:C20)</f>
        <v>187378</v>
      </c>
      <c r="D21" s="206">
        <f t="shared" ref="D21:F21" si="13">SUM(D15:D20)</f>
        <v>182018</v>
      </c>
      <c r="E21" s="206">
        <f t="shared" si="13"/>
        <v>174894</v>
      </c>
      <c r="F21" s="206">
        <f t="shared" si="13"/>
        <v>157728</v>
      </c>
      <c r="G21" s="200"/>
      <c r="H21" s="212">
        <f t="shared" si="9"/>
        <v>1</v>
      </c>
      <c r="I21" s="212">
        <f t="shared" si="10"/>
        <v>1</v>
      </c>
      <c r="J21" s="212">
        <f t="shared" si="11"/>
        <v>1</v>
      </c>
      <c r="K21" s="212">
        <f>F21/$F$21</f>
        <v>1</v>
      </c>
      <c r="N21" s="200" t="s">
        <v>292</v>
      </c>
      <c r="O21" s="1">
        <v>6.83</v>
      </c>
      <c r="P21" s="1">
        <v>7.93</v>
      </c>
      <c r="Q21" s="1">
        <v>5.59</v>
      </c>
      <c r="R21" s="1">
        <v>5.72</v>
      </c>
      <c r="T21" s="189">
        <f>O21/$O$7</f>
        <v>7.1937899581854374E-5</v>
      </c>
      <c r="U21" s="189">
        <f>P21/$P$7</f>
        <v>8.4564116235670488E-5</v>
      </c>
      <c r="V21" s="189">
        <f>Q21/$Q$7</f>
        <v>6.7688656398333819E-5</v>
      </c>
      <c r="W21" s="189">
        <f>R21/$R$7</f>
        <v>6.970594328470978E-5</v>
      </c>
      <c r="Z21" s="196" t="s">
        <v>293</v>
      </c>
      <c r="AA21" s="194">
        <v>687</v>
      </c>
      <c r="AB21" s="194">
        <v>-1964</v>
      </c>
      <c r="AC21" s="194">
        <v>-3704</v>
      </c>
      <c r="AD21" s="194">
        <v>-1054</v>
      </c>
      <c r="AF21" s="42">
        <f t="shared" si="6"/>
        <v>3.2414834387090689E-2</v>
      </c>
      <c r="AG21" s="42">
        <f t="shared" si="7"/>
        <v>-8.3895771038017944E-2</v>
      </c>
      <c r="AH21" s="42">
        <f t="shared" si="4"/>
        <v>-0.15737593473827327</v>
      </c>
      <c r="AI21" s="42">
        <f t="shared" si="8"/>
        <v>-4.5011957635804581E-2</v>
      </c>
    </row>
    <row r="22" spans="2:35" ht="17" thickBot="1">
      <c r="B22" s="200" t="s">
        <v>295</v>
      </c>
      <c r="H22" s="42"/>
      <c r="I22" s="42"/>
      <c r="J22" s="42"/>
      <c r="K22" s="42"/>
      <c r="N22" s="200" t="s">
        <v>296</v>
      </c>
      <c r="O22" s="1">
        <v>6.73</v>
      </c>
      <c r="P22" s="1">
        <v>7.81</v>
      </c>
      <c r="Q22" s="177">
        <v>5.51</v>
      </c>
      <c r="R22" s="1">
        <v>5.63</v>
      </c>
      <c r="T22" s="189">
        <f>O22/$O$7</f>
        <v>7.0884636044784774E-5</v>
      </c>
      <c r="U22" s="189">
        <f>P22/$P$7</f>
        <v>8.328445747800586E-5</v>
      </c>
      <c r="V22" s="189">
        <f>Q22/$Q$7</f>
        <v>6.6719945752203815E-5</v>
      </c>
      <c r="W22" s="189">
        <f>R22/$R$7</f>
        <v>6.8609171449810505E-5</v>
      </c>
      <c r="Z22" s="196" t="s">
        <v>297</v>
      </c>
      <c r="AA22" s="194">
        <v>-1979</v>
      </c>
      <c r="AB22" s="194">
        <v>-1061</v>
      </c>
      <c r="AC22" s="194">
        <v>744</v>
      </c>
      <c r="AD22" s="194">
        <v>1425</v>
      </c>
      <c r="AF22" s="42">
        <f t="shared" si="6"/>
        <v>-9.3375483627441733E-2</v>
      </c>
      <c r="AG22" s="42">
        <f t="shared" si="7"/>
        <v>-4.5322511747116614E-2</v>
      </c>
      <c r="AH22" s="42">
        <f t="shared" si="4"/>
        <v>3.1611148878314073E-2</v>
      </c>
      <c r="AI22" s="42">
        <f t="shared" si="8"/>
        <v>6.0855825076870519E-2</v>
      </c>
    </row>
    <row r="23" spans="2:35" ht="17" thickBot="1">
      <c r="B23" s="171" t="s">
        <v>299</v>
      </c>
      <c r="H23" s="42"/>
      <c r="I23" s="42"/>
      <c r="J23" s="42"/>
      <c r="K23" s="42"/>
      <c r="N23" s="200" t="s">
        <v>300</v>
      </c>
      <c r="O23" s="1">
        <v>2613.59</v>
      </c>
      <c r="P23" s="1">
        <v>2628.96</v>
      </c>
      <c r="Q23" s="1">
        <v>2632.51</v>
      </c>
      <c r="R23" s="1">
        <v>2632.5</v>
      </c>
      <c r="T23" s="189">
        <f>O23/$O$7</f>
        <v>2.7527990478497626E-2</v>
      </c>
      <c r="U23" s="189">
        <f>P23/$P$7</f>
        <v>2.8034764062916558E-2</v>
      </c>
      <c r="V23" s="189">
        <f>Q23/$Q$7</f>
        <v>3.1876755788046114E-2</v>
      </c>
      <c r="W23" s="189">
        <f>R23/$R$7</f>
        <v>3.2080576170803933E-2</v>
      </c>
      <c r="Z23" s="202" t="s">
        <v>301</v>
      </c>
      <c r="AA23" s="181">
        <f>SUM(AA8:AA22)</f>
        <v>21194</v>
      </c>
      <c r="AB23" s="181">
        <f>SUM(AB8:AB22)</f>
        <v>23410</v>
      </c>
      <c r="AC23" s="181">
        <f>SUM(AC8:AC22)</f>
        <v>23536</v>
      </c>
      <c r="AD23" s="181">
        <f>SUM(AD8:AD22)</f>
        <v>23416</v>
      </c>
      <c r="AF23" s="212">
        <f t="shared" si="6"/>
        <v>1</v>
      </c>
      <c r="AG23" s="212">
        <f t="shared" si="7"/>
        <v>1</v>
      </c>
      <c r="AH23" s="212">
        <f t="shared" si="4"/>
        <v>1</v>
      </c>
      <c r="AI23" s="212">
        <f t="shared" si="8"/>
        <v>1</v>
      </c>
    </row>
    <row r="24" spans="2:35" ht="16">
      <c r="B24" s="163" t="s">
        <v>303</v>
      </c>
      <c r="C24" s="164">
        <v>12771</v>
      </c>
      <c r="D24" s="164">
        <v>3766</v>
      </c>
      <c r="E24" s="164">
        <v>2631</v>
      </c>
      <c r="F24" s="164">
        <v>1202</v>
      </c>
      <c r="H24" s="42">
        <f t="shared" ref="H24:H36" si="14">ABS(C24)/$C$48</f>
        <v>6.8156347063155764E-2</v>
      </c>
      <c r="I24" s="42">
        <f t="shared" ref="I24:I36" si="15">ABS(D24)/$D$48</f>
        <v>2.0690261402718412E-2</v>
      </c>
      <c r="J24" s="42">
        <f t="shared" ref="J24:J36" si="16">ABS(E24)/$E$48</f>
        <v>1.5043397715187486E-2</v>
      </c>
      <c r="K24" s="42">
        <f t="shared" ref="K24:K36" si="17">ABS(F24)/$F$48</f>
        <v>7.6207141407993511E-3</v>
      </c>
      <c r="N24" s="200" t="s">
        <v>305</v>
      </c>
      <c r="O24" s="178">
        <v>2663.9</v>
      </c>
      <c r="P24" s="178">
        <v>2674</v>
      </c>
      <c r="Q24" s="178">
        <v>2670.7</v>
      </c>
      <c r="R24" s="178">
        <v>2684.3</v>
      </c>
      <c r="T24" s="189">
        <f>O24/$O$7</f>
        <v>2.8057887363997346E-2</v>
      </c>
      <c r="U24" s="189">
        <f>P24/$P$7</f>
        <v>2.851506264996001E-2</v>
      </c>
      <c r="V24" s="189">
        <f>Q24/$Q$7</f>
        <v>3.2339194032742415E-2</v>
      </c>
      <c r="W24" s="189">
        <f>R24/$R$7</f>
        <v>3.2711829293557079E-2</v>
      </c>
      <c r="Z24" s="200" t="s">
        <v>294</v>
      </c>
      <c r="AA24" s="194"/>
      <c r="AB24" s="194"/>
      <c r="AC24" s="194"/>
      <c r="AD24" s="194"/>
      <c r="AF24" s="42"/>
      <c r="AG24" s="42"/>
      <c r="AH24" s="42"/>
      <c r="AI24" s="42"/>
    </row>
    <row r="25" spans="2:35" ht="17" thickBot="1">
      <c r="B25" s="163" t="s">
        <v>304</v>
      </c>
      <c r="C25" s="164">
        <v>11703</v>
      </c>
      <c r="D25" s="164">
        <v>11055</v>
      </c>
      <c r="E25" s="164">
        <v>9505</v>
      </c>
      <c r="F25" s="164">
        <v>8544</v>
      </c>
      <c r="H25" s="42">
        <f t="shared" si="14"/>
        <v>6.245663845275326E-2</v>
      </c>
      <c r="I25" s="42">
        <f t="shared" si="15"/>
        <v>6.0735751409201288E-2</v>
      </c>
      <c r="J25" s="42">
        <f t="shared" si="16"/>
        <v>5.4347204592496028E-2</v>
      </c>
      <c r="K25" s="42">
        <f t="shared" si="17"/>
        <v>5.4169202678027994E-2</v>
      </c>
      <c r="N25" s="200"/>
      <c r="O25" s="178"/>
      <c r="P25" s="178"/>
      <c r="Q25" s="178"/>
      <c r="R25" s="178"/>
      <c r="T25" s="42"/>
      <c r="U25" s="42"/>
      <c r="V25" s="42"/>
      <c r="W25" s="42"/>
      <c r="Z25" s="196" t="s">
        <v>308</v>
      </c>
      <c r="AA25" s="194">
        <v>-4009</v>
      </c>
      <c r="AB25" s="194">
        <v>-3652</v>
      </c>
      <c r="AC25" s="194">
        <v>-3347</v>
      </c>
      <c r="AD25" s="194">
        <v>-3498</v>
      </c>
      <c r="AF25" s="42">
        <f t="shared" ref="AF25:AF32" si="18">AA25/$AA$32</f>
        <v>0.32406434403039364</v>
      </c>
      <c r="AG25" s="42">
        <f t="shared" ref="AG25:AG32" si="19">AB25/$AB$32</f>
        <v>0.42059196130369686</v>
      </c>
      <c r="AH25" s="42">
        <f t="shared" ref="AH25:AH32" si="20">AC25/$AC$32</f>
        <v>0.16072028811524611</v>
      </c>
      <c r="AI25" s="42">
        <f t="shared" ref="AI25:AI32" si="21">AD25/$AD$32</f>
        <v>0.56474007103648693</v>
      </c>
    </row>
    <row r="26" spans="2:35" ht="17" thickBot="1">
      <c r="B26" s="163" t="s">
        <v>310</v>
      </c>
      <c r="C26" s="164">
        <v>11456</v>
      </c>
      <c r="D26" s="164">
        <v>13612</v>
      </c>
      <c r="E26" s="164">
        <v>13968</v>
      </c>
      <c r="F26" s="164">
        <v>9715</v>
      </c>
      <c r="H26" s="42">
        <f t="shared" si="14"/>
        <v>6.1138447416452302E-2</v>
      </c>
      <c r="I26" s="42">
        <f t="shared" si="15"/>
        <v>7.4783812589963625E-2</v>
      </c>
      <c r="J26" s="42">
        <f t="shared" si="16"/>
        <v>7.9865518542660122E-2</v>
      </c>
      <c r="K26" s="42">
        <f t="shared" si="17"/>
        <v>6.1593375938324202E-2</v>
      </c>
      <c r="N26" s="199" t="s">
        <v>311</v>
      </c>
      <c r="O26" s="210">
        <f>71240</f>
        <v>71240</v>
      </c>
      <c r="P26" s="210">
        <f>69228</f>
        <v>69228</v>
      </c>
      <c r="Q26" s="210">
        <f>62670</f>
        <v>62670</v>
      </c>
      <c r="R26" s="210">
        <f>61089</f>
        <v>61089</v>
      </c>
      <c r="S26" s="196"/>
      <c r="T26" s="212">
        <f>O26/$O$7</f>
        <v>0.75034494380839034</v>
      </c>
      <c r="U26" s="212">
        <f>P26/$P$7</f>
        <v>0.73823513729672086</v>
      </c>
      <c r="V26" s="212">
        <f>Q26/$Q$7</f>
        <v>0.75886370241208956</v>
      </c>
      <c r="W26" s="212">
        <f>R26/$R$7</f>
        <v>0.74445216246846779</v>
      </c>
      <c r="Z26" s="196" t="s">
        <v>312</v>
      </c>
      <c r="AA26" s="194">
        <v>543</v>
      </c>
      <c r="AB26" s="194">
        <v>711</v>
      </c>
      <c r="AC26" s="194">
        <v>305</v>
      </c>
      <c r="AD26" s="194">
        <v>3265</v>
      </c>
      <c r="AF26" s="42">
        <f t="shared" si="18"/>
        <v>-4.3892975507234665E-2</v>
      </c>
      <c r="AG26" s="42">
        <f t="shared" si="19"/>
        <v>-8.1884141425774506E-2</v>
      </c>
      <c r="AH26" s="42">
        <f t="shared" si="20"/>
        <v>-1.4645858343337335E-2</v>
      </c>
      <c r="AI26" s="42">
        <f t="shared" si="21"/>
        <v>-0.52712302227962549</v>
      </c>
    </row>
    <row r="27" spans="2:35" ht="16">
      <c r="B27" s="163" t="s">
        <v>314</v>
      </c>
      <c r="C27" s="164">
        <v>14417</v>
      </c>
      <c r="D27" s="164">
        <v>12095</v>
      </c>
      <c r="E27" s="164">
        <v>11513</v>
      </c>
      <c r="F27" s="164">
        <v>10883</v>
      </c>
      <c r="H27" s="42">
        <f t="shared" si="14"/>
        <v>7.6940729434618799E-2</v>
      </c>
      <c r="I27" s="42">
        <f t="shared" si="15"/>
        <v>6.6449472030238765E-2</v>
      </c>
      <c r="J27" s="42">
        <f t="shared" si="16"/>
        <v>6.5828444657907076E-2</v>
      </c>
      <c r="K27" s="42">
        <f t="shared" si="17"/>
        <v>6.8998529113410423E-2</v>
      </c>
      <c r="N27" s="200"/>
      <c r="O27" s="185"/>
      <c r="P27" s="185"/>
      <c r="Q27" s="185"/>
      <c r="R27" s="185"/>
      <c r="T27" s="42"/>
      <c r="U27" s="42"/>
      <c r="V27" s="42"/>
      <c r="W27" s="42"/>
      <c r="Z27" s="196" t="s">
        <v>316</v>
      </c>
      <c r="AA27" s="194">
        <v>-17652</v>
      </c>
      <c r="AB27" s="194">
        <v>-60</v>
      </c>
      <c r="AC27" s="194">
        <v>-7323</v>
      </c>
      <c r="AD27" s="194">
        <v>-5810</v>
      </c>
      <c r="AF27" s="42">
        <f t="shared" si="18"/>
        <v>1.4268854579257941</v>
      </c>
      <c r="AG27" s="42">
        <f t="shared" si="19"/>
        <v>6.9100541287573421E-3</v>
      </c>
      <c r="AH27" s="42">
        <f t="shared" si="20"/>
        <v>0.35164465786314525</v>
      </c>
      <c r="AI27" s="42">
        <f t="shared" si="21"/>
        <v>0.9380045205037133</v>
      </c>
    </row>
    <row r="28" spans="2:35" ht="16">
      <c r="B28" s="163" t="s">
        <v>318</v>
      </c>
      <c r="C28" s="164">
        <v>3328</v>
      </c>
      <c r="D28" s="164">
        <v>3586</v>
      </c>
      <c r="E28" s="164">
        <v>3484</v>
      </c>
      <c r="F28" s="164">
        <v>3354</v>
      </c>
      <c r="H28" s="42">
        <f t="shared" si="14"/>
        <v>1.7760889752265474E-2</v>
      </c>
      <c r="I28" s="42">
        <f t="shared" si="15"/>
        <v>1.970134821830808E-2</v>
      </c>
      <c r="J28" s="42">
        <f t="shared" si="16"/>
        <v>1.9920637643372558E-2</v>
      </c>
      <c r="K28" s="42">
        <f t="shared" si="17"/>
        <v>2.1264455264759587E-2</v>
      </c>
      <c r="N28" s="200" t="s">
        <v>320</v>
      </c>
      <c r="O28" s="185">
        <f>O19</f>
        <v>17941</v>
      </c>
      <c r="P28" s="185">
        <f>P19</f>
        <v>20878</v>
      </c>
      <c r="Q28" s="185">
        <f>Q19</f>
        <v>14714</v>
      </c>
      <c r="R28" s="185">
        <f>R19</f>
        <v>15119</v>
      </c>
      <c r="T28" s="189">
        <f>O28/$O$7</f>
        <v>0.18896601118565876</v>
      </c>
      <c r="U28" s="189">
        <f>P28/$P$7</f>
        <v>0.22263929618768327</v>
      </c>
      <c r="V28" s="189">
        <f>Q28/$Q$7</f>
        <v>0.17817010558946042</v>
      </c>
      <c r="W28" s="189">
        <f>R28/$R$7</f>
        <v>0.18424548190935791</v>
      </c>
      <c r="Z28" s="196" t="s">
        <v>321</v>
      </c>
      <c r="AA28" s="194">
        <v>-32384</v>
      </c>
      <c r="AB28" s="194">
        <v>-30394</v>
      </c>
      <c r="AC28" s="194">
        <v>-21089</v>
      </c>
      <c r="AD28" s="194">
        <v>-3920</v>
      </c>
      <c r="AF28" s="42">
        <f t="shared" si="18"/>
        <v>2.617735025462776</v>
      </c>
      <c r="AG28" s="42">
        <f t="shared" si="19"/>
        <v>3.5004030864908442</v>
      </c>
      <c r="AH28" s="42">
        <f t="shared" si="20"/>
        <v>1.0126770708283312</v>
      </c>
      <c r="AI28" s="42">
        <f t="shared" si="21"/>
        <v>0.63287051985792697</v>
      </c>
    </row>
    <row r="29" spans="2:35" ht="16">
      <c r="B29" s="163" t="s">
        <v>323</v>
      </c>
      <c r="C29" s="164">
        <v>2127</v>
      </c>
      <c r="D29" s="164">
        <v>1112</v>
      </c>
      <c r="E29" s="164">
        <v>1392</v>
      </c>
      <c r="F29" s="164">
        <v>2266</v>
      </c>
      <c r="H29" s="42">
        <f t="shared" si="14"/>
        <v>1.1351385968470152E-2</v>
      </c>
      <c r="I29" s="42">
        <f t="shared" si="15"/>
        <v>6.1092858948016129E-3</v>
      </c>
      <c r="J29" s="42">
        <f t="shared" si="16"/>
        <v>7.9591066588905277E-3</v>
      </c>
      <c r="K29" s="42">
        <f t="shared" si="17"/>
        <v>1.4366504361939541E-2</v>
      </c>
      <c r="N29" s="200" t="s">
        <v>325</v>
      </c>
      <c r="O29" s="185">
        <f>18206</f>
        <v>18206</v>
      </c>
      <c r="P29" s="1">
        <f>21934</f>
        <v>21934</v>
      </c>
      <c r="Q29" s="1">
        <f>14714</f>
        <v>14714</v>
      </c>
      <c r="R29" s="1">
        <f>15119</f>
        <v>15119</v>
      </c>
      <c r="T29" s="189">
        <f>O29/$O$7</f>
        <v>0.19175715955889322</v>
      </c>
      <c r="U29" s="189">
        <f>P29/$P$7</f>
        <v>0.23390029325513195</v>
      </c>
      <c r="V29" s="189">
        <f>Q29/$Q$7</f>
        <v>0.17817010558946042</v>
      </c>
      <c r="W29" s="189">
        <f>R29/$R$7</f>
        <v>0.18424548190935791</v>
      </c>
      <c r="Z29" s="196" t="s">
        <v>326</v>
      </c>
      <c r="AA29" s="194">
        <v>41609</v>
      </c>
      <c r="AB29" s="194">
        <v>25006</v>
      </c>
      <c r="AC29" s="194">
        <v>12137</v>
      </c>
      <c r="AD29" s="194">
        <v>3387</v>
      </c>
      <c r="AF29" s="42">
        <f t="shared" si="18"/>
        <v>-3.3634306038315414</v>
      </c>
      <c r="AG29" s="42">
        <f t="shared" si="19"/>
        <v>-2.8798802257284351</v>
      </c>
      <c r="AH29" s="42">
        <f t="shared" si="20"/>
        <v>-0.5828091236494598</v>
      </c>
      <c r="AI29" s="42">
        <f t="shared" si="21"/>
        <v>-0.54681950274459157</v>
      </c>
    </row>
    <row r="30" spans="2:35" ht="17" thickBot="1">
      <c r="B30" s="208" t="s">
        <v>315</v>
      </c>
      <c r="C30" s="169">
        <f>SUM(C24:C29)</f>
        <v>55802</v>
      </c>
      <c r="D30" s="169">
        <f t="shared" ref="D30:F30" si="22">SUM(D24:D29)</f>
        <v>45226</v>
      </c>
      <c r="E30" s="169">
        <f t="shared" si="22"/>
        <v>42493</v>
      </c>
      <c r="F30" s="169">
        <f t="shared" si="22"/>
        <v>35964</v>
      </c>
      <c r="G30" s="200"/>
      <c r="H30" s="220">
        <f t="shared" si="14"/>
        <v>0.29780443808771573</v>
      </c>
      <c r="I30" s="220">
        <f t="shared" si="15"/>
        <v>0.24846993154523178</v>
      </c>
      <c r="J30" s="220">
        <f t="shared" si="16"/>
        <v>0.24296430981051378</v>
      </c>
      <c r="K30" s="220">
        <f t="shared" si="17"/>
        <v>0.22801278149726112</v>
      </c>
      <c r="N30" s="200" t="s">
        <v>329</v>
      </c>
      <c r="O30" s="1">
        <v>490</v>
      </c>
      <c r="P30" s="1">
        <v>53</v>
      </c>
      <c r="Q30" s="1">
        <v>111</v>
      </c>
      <c r="R30" s="1">
        <v>357</v>
      </c>
      <c r="T30" s="189">
        <f>O30/$O$7</f>
        <v>5.1609913316410898E-3</v>
      </c>
      <c r="U30" s="189">
        <f>P30/$P$7</f>
        <v>5.6518261796854169E-4</v>
      </c>
      <c r="V30" s="189">
        <f>Q30/$Q$7</f>
        <v>1.3440860215053765E-3</v>
      </c>
      <c r="W30" s="189">
        <f>R30/$R$7</f>
        <v>4.3505282784338101E-3</v>
      </c>
      <c r="Z30" s="196" t="s">
        <v>330</v>
      </c>
      <c r="AA30" s="194">
        <v>-249</v>
      </c>
      <c r="AB30" s="194">
        <v>214</v>
      </c>
      <c r="AC30" s="194">
        <v>-987</v>
      </c>
      <c r="AD30" s="194">
        <v>338</v>
      </c>
      <c r="AF30" s="42">
        <f t="shared" si="18"/>
        <v>2.0127718050278878E-2</v>
      </c>
      <c r="AG30" s="42">
        <f t="shared" si="19"/>
        <v>-2.4645859725901186E-2</v>
      </c>
      <c r="AH30" s="42">
        <f t="shared" si="20"/>
        <v>4.7394957983193278E-2</v>
      </c>
      <c r="AI30" s="42">
        <f t="shared" si="21"/>
        <v>-5.4568937681627384E-2</v>
      </c>
    </row>
    <row r="31" spans="2:35" ht="17" thickBot="1">
      <c r="B31" s="163" t="s">
        <v>332</v>
      </c>
      <c r="C31" s="164">
        <v>26888</v>
      </c>
      <c r="D31" s="164">
        <v>29985</v>
      </c>
      <c r="E31" s="164">
        <v>32635</v>
      </c>
      <c r="F31" s="164">
        <v>26494</v>
      </c>
      <c r="H31" s="42">
        <f t="shared" si="14"/>
        <v>0.14349603475327946</v>
      </c>
      <c r="I31" s="42">
        <f t="shared" si="15"/>
        <v>0.16473645463635464</v>
      </c>
      <c r="J31" s="42">
        <f t="shared" si="16"/>
        <v>0.18659873980811234</v>
      </c>
      <c r="K31" s="42">
        <f t="shared" si="17"/>
        <v>0.16797271251775209</v>
      </c>
      <c r="N31" s="200" t="s">
        <v>334</v>
      </c>
      <c r="O31" s="1">
        <v>-276</v>
      </c>
      <c r="P31" s="1">
        <v>-183</v>
      </c>
      <c r="Q31" s="1">
        <v>-201</v>
      </c>
      <c r="R31" s="1">
        <v>-318</v>
      </c>
      <c r="T31" s="189">
        <f>O31/$O$7</f>
        <v>-2.907007362312124E-3</v>
      </c>
      <c r="U31" s="189">
        <f>P31/$P$7</f>
        <v>-1.9514796054385497E-3</v>
      </c>
      <c r="V31" s="189">
        <f>Q31/$Q$7</f>
        <v>-2.4338854984016275E-3</v>
      </c>
      <c r="W31" s="189">
        <f>R31/$R$7</f>
        <v>-3.8752604833107887E-3</v>
      </c>
      <c r="Z31" s="196" t="s">
        <v>335</v>
      </c>
      <c r="AA31" s="194">
        <v>-229</v>
      </c>
      <c r="AB31" s="194">
        <v>-508</v>
      </c>
      <c r="AC31" s="194">
        <v>-521</v>
      </c>
      <c r="AD31" s="194">
        <v>44</v>
      </c>
      <c r="AF31" s="42">
        <f t="shared" si="18"/>
        <v>1.8511033869533587E-2</v>
      </c>
      <c r="AG31" s="42">
        <f t="shared" si="19"/>
        <v>5.8505124956812163E-2</v>
      </c>
      <c r="AH31" s="42">
        <f t="shared" si="20"/>
        <v>2.5018007202881151E-2</v>
      </c>
      <c r="AI31" s="42">
        <f t="shared" si="21"/>
        <v>-7.103648692282854E-3</v>
      </c>
    </row>
    <row r="32" spans="2:35" ht="17" thickBot="1">
      <c r="B32" s="163" t="s">
        <v>284</v>
      </c>
      <c r="C32" s="164">
        <v>6374</v>
      </c>
      <c r="D32" s="164">
        <v>7487</v>
      </c>
      <c r="E32" s="164">
        <v>7214</v>
      </c>
      <c r="F32" s="164">
        <v>5958</v>
      </c>
      <c r="H32" s="42">
        <f t="shared" si="14"/>
        <v>3.401680026470557E-2</v>
      </c>
      <c r="I32" s="42">
        <f t="shared" si="15"/>
        <v>4.1133294509334242E-2</v>
      </c>
      <c r="J32" s="42">
        <f t="shared" si="16"/>
        <v>4.1247841549738699E-2</v>
      </c>
      <c r="K32" s="42">
        <f t="shared" si="17"/>
        <v>3.7773889227023738E-2</v>
      </c>
      <c r="N32" s="200" t="s">
        <v>338</v>
      </c>
      <c r="O32" s="1">
        <v>214</v>
      </c>
      <c r="P32" s="1">
        <v>-130</v>
      </c>
      <c r="Q32" s="1">
        <v>-90</v>
      </c>
      <c r="R32" s="1">
        <v>39</v>
      </c>
      <c r="T32" s="189">
        <f>O32/$O$7</f>
        <v>2.2539839693289658E-3</v>
      </c>
      <c r="U32" s="189">
        <f>P32/$P$7</f>
        <v>-1.3862969874700081E-3</v>
      </c>
      <c r="V32" s="189">
        <f>Q32/$Q$7</f>
        <v>-1.089799476896251E-3</v>
      </c>
      <c r="W32" s="189">
        <f>R32/$R$7</f>
        <v>4.7526779512302122E-4</v>
      </c>
      <c r="Z32" s="202" t="s">
        <v>313</v>
      </c>
      <c r="AA32" s="181">
        <f>SUM(AA25:AA31)</f>
        <v>-12371</v>
      </c>
      <c r="AB32" s="181">
        <f>SUM(AB25:AB31)</f>
        <v>-8683</v>
      </c>
      <c r="AC32" s="181">
        <f>SUM(AC25:AC31)</f>
        <v>-20825</v>
      </c>
      <c r="AD32" s="181">
        <f>SUM(AD25:AD31)</f>
        <v>-6194</v>
      </c>
      <c r="AF32" s="212">
        <f t="shared" si="18"/>
        <v>1</v>
      </c>
      <c r="AG32" s="212">
        <f t="shared" si="19"/>
        <v>1</v>
      </c>
      <c r="AH32" s="212">
        <f t="shared" si="20"/>
        <v>1</v>
      </c>
      <c r="AI32" s="212">
        <f t="shared" si="21"/>
        <v>1</v>
      </c>
    </row>
    <row r="33" spans="2:35" ht="16">
      <c r="B33" s="163" t="s">
        <v>340</v>
      </c>
      <c r="C33" s="164">
        <v>6767</v>
      </c>
      <c r="D33" s="164">
        <v>8898</v>
      </c>
      <c r="E33" s="164">
        <v>10771</v>
      </c>
      <c r="F33" s="164">
        <v>10663</v>
      </c>
      <c r="H33" s="42">
        <f t="shared" si="14"/>
        <v>3.6114164949994129E-2</v>
      </c>
      <c r="I33" s="42">
        <f t="shared" si="15"/>
        <v>4.8885275082684129E-2</v>
      </c>
      <c r="J33" s="42">
        <f t="shared" si="16"/>
        <v>6.1585874872780083E-2</v>
      </c>
      <c r="K33" s="42">
        <f t="shared" si="17"/>
        <v>6.7603722864678431E-2</v>
      </c>
      <c r="N33" s="200"/>
      <c r="O33" s="1"/>
      <c r="P33" s="1"/>
      <c r="Q33" s="1"/>
      <c r="R33" s="1"/>
      <c r="T33" s="189"/>
      <c r="U33" s="189"/>
      <c r="V33" s="189"/>
      <c r="W33" s="189"/>
      <c r="Z33" s="200" t="s">
        <v>317</v>
      </c>
      <c r="AA33" s="194"/>
      <c r="AB33" s="194"/>
      <c r="AC33" s="194"/>
      <c r="AD33" s="194"/>
      <c r="AF33" s="42"/>
      <c r="AG33" s="42"/>
      <c r="AH33" s="42"/>
      <c r="AI33" s="42"/>
    </row>
    <row r="34" spans="2:35" ht="16">
      <c r="B34" s="163" t="s">
        <v>343</v>
      </c>
      <c r="C34" s="164">
        <v>4306</v>
      </c>
      <c r="D34" s="164">
        <v>5713</v>
      </c>
      <c r="E34" s="164">
        <v>6559</v>
      </c>
      <c r="F34" s="164">
        <v>7444</v>
      </c>
      <c r="H34" s="42">
        <f t="shared" si="14"/>
        <v>2.298028583931945E-2</v>
      </c>
      <c r="I34" s="42">
        <f t="shared" si="15"/>
        <v>3.1387005680756849E-2</v>
      </c>
      <c r="J34" s="42">
        <f t="shared" si="16"/>
        <v>3.7502715930792366E-2</v>
      </c>
      <c r="K34" s="42">
        <f t="shared" si="17"/>
        <v>4.7195171434368029E-2</v>
      </c>
      <c r="N34" s="200" t="s">
        <v>345</v>
      </c>
      <c r="O34" s="1">
        <v>24780</v>
      </c>
      <c r="P34" s="1">
        <v>24481</v>
      </c>
      <c r="Q34" s="1">
        <v>20468</v>
      </c>
      <c r="R34" s="1">
        <v>21550</v>
      </c>
      <c r="T34" s="189">
        <f>O34/$O$7</f>
        <v>0.26099870448584939</v>
      </c>
      <c r="U34" s="189">
        <f>P34/$P$7</f>
        <v>0.26106105038656358</v>
      </c>
      <c r="V34" s="189">
        <f>Q34/$Q$7</f>
        <v>0.24784461881236075</v>
      </c>
      <c r="W34" s="189">
        <f>R34/$R$7</f>
        <v>0.26261592268977202</v>
      </c>
      <c r="Z34" s="196" t="s">
        <v>346</v>
      </c>
      <c r="AA34" s="194">
        <v>-11682</v>
      </c>
      <c r="AB34" s="194">
        <v>-11032</v>
      </c>
      <c r="AC34" s="194">
        <v>-10481</v>
      </c>
      <c r="AD34" s="194">
        <v>-9917</v>
      </c>
      <c r="AF34" s="42">
        <f t="shared" ref="AF34:AF43" si="23">-(AA34/$AA$43)</f>
        <v>-1.3168752113628677</v>
      </c>
      <c r="AG34" s="42">
        <f t="shared" ref="AG34:AG43" si="24">-(AB34/$AB$43)</f>
        <v>-0.78536342279490279</v>
      </c>
      <c r="AH34" s="42">
        <f t="shared" ref="AH34:AH43" si="25">-(AC34/$AC$43)</f>
        <v>-1.7125816993464051</v>
      </c>
      <c r="AI34" s="42">
        <f t="shared" ref="AI34:AI43" si="26">-(AD34/$AD$43)</f>
        <v>-0.55048570635581462</v>
      </c>
    </row>
    <row r="35" spans="2:35" ht="17" thickBot="1">
      <c r="B35" s="163" t="s">
        <v>348</v>
      </c>
      <c r="C35" s="164">
        <v>10437</v>
      </c>
      <c r="D35" s="164">
        <v>10686</v>
      </c>
      <c r="E35" s="164">
        <v>11944</v>
      </c>
      <c r="F35" s="164">
        <v>11734</v>
      </c>
      <c r="H35" s="42">
        <f t="shared" si="14"/>
        <v>5.5700242290983998E-2</v>
      </c>
      <c r="I35" s="42">
        <f t="shared" si="15"/>
        <v>5.8708479381160104E-2</v>
      </c>
      <c r="J35" s="42">
        <f t="shared" si="16"/>
        <v>6.8292794492664122E-2</v>
      </c>
      <c r="K35" s="42">
        <f t="shared" si="17"/>
        <v>7.439389328464191E-2</v>
      </c>
      <c r="N35" s="200" t="s">
        <v>350</v>
      </c>
      <c r="O35" s="1">
        <v>31750</v>
      </c>
      <c r="P35" s="1">
        <v>31871</v>
      </c>
      <c r="Q35" s="1">
        <v>27699</v>
      </c>
      <c r="R35" s="1">
        <v>28559</v>
      </c>
      <c r="T35" s="189">
        <f>O35/$O$7</f>
        <v>0.33441117301960122</v>
      </c>
      <c r="U35" s="189">
        <f>P35/$P$7</f>
        <v>0.33986670221274329</v>
      </c>
      <c r="V35" s="189">
        <f>Q35/$Q$7</f>
        <v>0.33540395233943621</v>
      </c>
      <c r="W35" s="189">
        <f>R35/$R$7</f>
        <v>0.34803007592098367</v>
      </c>
      <c r="Z35" s="196" t="s">
        <v>351</v>
      </c>
      <c r="AA35" s="194">
        <v>-6035</v>
      </c>
      <c r="AB35" s="194">
        <v>-3456</v>
      </c>
      <c r="AC35" s="194">
        <v>-3221</v>
      </c>
      <c r="AD35" s="194">
        <v>-6746</v>
      </c>
      <c r="AF35" s="42">
        <f t="shared" si="23"/>
        <v>-0.68030661706684703</v>
      </c>
      <c r="AG35" s="42">
        <f t="shared" si="24"/>
        <v>-0.24603118103509647</v>
      </c>
      <c r="AH35" s="42">
        <f t="shared" si="25"/>
        <v>-0.52630718954248368</v>
      </c>
      <c r="AI35" s="42">
        <f t="shared" si="26"/>
        <v>-0.37446572300860392</v>
      </c>
    </row>
    <row r="36" spans="2:35" ht="17" thickBot="1">
      <c r="B36" s="167" t="s">
        <v>337</v>
      </c>
      <c r="C36" s="206">
        <f>SUM(C30:C35)</f>
        <v>110574</v>
      </c>
      <c r="D36" s="206">
        <f t="shared" ref="D36:F36" si="27">SUM(D30:D35)</f>
        <v>107995</v>
      </c>
      <c r="E36" s="206">
        <f t="shared" si="27"/>
        <v>111616</v>
      </c>
      <c r="F36" s="206">
        <f t="shared" si="27"/>
        <v>98257</v>
      </c>
      <c r="G36" s="200"/>
      <c r="H36" s="212">
        <f t="shared" si="14"/>
        <v>0.59011196618599837</v>
      </c>
      <c r="I36" s="212">
        <f t="shared" si="15"/>
        <v>0.59332044083552171</v>
      </c>
      <c r="J36" s="212">
        <f t="shared" si="16"/>
        <v>0.63819227646460142</v>
      </c>
      <c r="K36" s="212">
        <f t="shared" si="17"/>
        <v>0.62295217082572529</v>
      </c>
      <c r="N36" s="200" t="s">
        <v>354</v>
      </c>
      <c r="O36" s="1">
        <v>4.45</v>
      </c>
      <c r="P36" s="1">
        <v>4.1900000000000004</v>
      </c>
      <c r="Q36" s="1">
        <v>3.98</v>
      </c>
      <c r="R36" s="1">
        <v>3.75</v>
      </c>
      <c r="T36" s="189">
        <f>O36/$O$7</f>
        <v>4.6870227399597657E-5</v>
      </c>
      <c r="U36" s="189">
        <f>P36/$P$7</f>
        <v>4.4681418288456418E-5</v>
      </c>
      <c r="V36" s="189">
        <f>Q36/$Q$7</f>
        <v>4.8193354644967545E-5</v>
      </c>
      <c r="W36" s="189">
        <f>R36/$R$7</f>
        <v>4.5698826454136655E-5</v>
      </c>
      <c r="Z36" s="196" t="s">
        <v>355</v>
      </c>
      <c r="AA36" s="194">
        <v>16134</v>
      </c>
      <c r="AB36" s="194">
        <v>1997</v>
      </c>
      <c r="AC36" s="194">
        <v>3391</v>
      </c>
      <c r="AD36" s="194">
        <v>39</v>
      </c>
      <c r="AF36" s="42">
        <f t="shared" si="23"/>
        <v>1.818735204599256</v>
      </c>
      <c r="AG36" s="42">
        <f t="shared" si="24"/>
        <v>0.14216558695806933</v>
      </c>
      <c r="AH36" s="42">
        <f t="shared" si="25"/>
        <v>0.55408496732026147</v>
      </c>
      <c r="AI36" s="42">
        <f t="shared" si="26"/>
        <v>2.1648626144879267E-3</v>
      </c>
    </row>
    <row r="37" spans="2:35" ht="16">
      <c r="B37" s="163" t="s">
        <v>341</v>
      </c>
      <c r="H37" s="42"/>
      <c r="I37" s="42"/>
      <c r="J37" s="42"/>
      <c r="K37" s="42"/>
      <c r="Z37" s="196" t="s">
        <v>358</v>
      </c>
      <c r="AA37" s="194">
        <v>-6550</v>
      </c>
      <c r="AB37" s="194">
        <v>-1190</v>
      </c>
      <c r="AC37" s="194">
        <v>-2663</v>
      </c>
      <c r="AD37" s="194">
        <v>-100</v>
      </c>
      <c r="AF37" s="42">
        <f t="shared" si="23"/>
        <v>-0.73836095141472213</v>
      </c>
      <c r="AG37" s="42">
        <f t="shared" si="24"/>
        <v>-8.4715597636506018E-2</v>
      </c>
      <c r="AH37" s="42">
        <f t="shared" si="25"/>
        <v>-0.43513071895424837</v>
      </c>
      <c r="AI37" s="42">
        <f t="shared" si="26"/>
        <v>-5.550929780738274E-3</v>
      </c>
    </row>
    <row r="38" spans="2:35" ht="16">
      <c r="B38" s="171" t="s">
        <v>349</v>
      </c>
      <c r="C38" s="164"/>
      <c r="D38" s="164"/>
      <c r="E38" s="164"/>
      <c r="F38" s="164"/>
      <c r="H38" s="42"/>
      <c r="I38" s="42"/>
      <c r="J38" s="42"/>
      <c r="K38" s="42"/>
      <c r="Z38" s="196" t="s">
        <v>361</v>
      </c>
      <c r="AA38" s="194">
        <v>2</v>
      </c>
      <c r="AB38" s="194">
        <v>5</v>
      </c>
      <c r="AC38" s="194">
        <v>7431</v>
      </c>
      <c r="AD38" s="194">
        <v>3</v>
      </c>
      <c r="AF38" s="42">
        <f t="shared" si="23"/>
        <v>2.2545372562281593E-4</v>
      </c>
      <c r="AG38" s="42">
        <f t="shared" si="24"/>
        <v>3.5594788922901688E-4</v>
      </c>
      <c r="AH38" s="42">
        <f t="shared" si="25"/>
        <v>1.2142156862745097</v>
      </c>
      <c r="AI38" s="42">
        <f t="shared" si="26"/>
        <v>1.6652789342214822E-4</v>
      </c>
    </row>
    <row r="39" spans="2:35" ht="16">
      <c r="B39" s="163" t="s">
        <v>363</v>
      </c>
      <c r="C39" s="180" t="s">
        <v>49</v>
      </c>
      <c r="D39" s="180" t="s">
        <v>49</v>
      </c>
      <c r="E39" s="180" t="s">
        <v>49</v>
      </c>
      <c r="F39" s="180" t="s">
        <v>49</v>
      </c>
      <c r="H39" s="42"/>
      <c r="I39" s="42"/>
      <c r="J39" s="42"/>
      <c r="K39" s="42"/>
      <c r="Z39" s="196" t="s">
        <v>365</v>
      </c>
      <c r="AA39" s="194">
        <v>-2134</v>
      </c>
      <c r="AB39" s="194">
        <v>-1802</v>
      </c>
      <c r="AC39" s="194">
        <v>-1064</v>
      </c>
      <c r="AD39" s="194">
        <v>-2823</v>
      </c>
      <c r="AF39" s="42">
        <f t="shared" si="23"/>
        <v>-0.24055912523954459</v>
      </c>
      <c r="AG39" s="42">
        <f t="shared" si="24"/>
        <v>-0.12828361927813767</v>
      </c>
      <c r="AH39" s="42">
        <f t="shared" si="25"/>
        <v>-0.17385620915032679</v>
      </c>
      <c r="AI39" s="42">
        <f t="shared" si="26"/>
        <v>-0.15670274771024145</v>
      </c>
    </row>
    <row r="40" spans="2:35" ht="16">
      <c r="B40" s="163" t="s">
        <v>367</v>
      </c>
      <c r="C40" s="164">
        <v>3120</v>
      </c>
      <c r="D40" s="164">
        <v>3120</v>
      </c>
      <c r="E40" s="164">
        <v>3120</v>
      </c>
      <c r="F40" s="164">
        <v>3120</v>
      </c>
      <c r="H40" s="42">
        <f>ABS(C40)/$C$48</f>
        <v>1.6650834142748882E-2</v>
      </c>
      <c r="I40" s="42">
        <f>ABS(D40)/$D$48</f>
        <v>1.7141161863112441E-2</v>
      </c>
      <c r="J40" s="42">
        <f>ABS(E40)/$E$48</f>
        <v>1.7839376994064977E-2</v>
      </c>
      <c r="K40" s="42">
        <f>ABS(F40)/$F$48</f>
        <v>1.978088861838101E-2</v>
      </c>
      <c r="Z40" s="196" t="s">
        <v>369</v>
      </c>
      <c r="AA40" s="194">
        <v>1329</v>
      </c>
      <c r="AB40" s="194">
        <v>1036</v>
      </c>
      <c r="AC40" s="194">
        <v>1114</v>
      </c>
      <c r="AD40" s="194">
        <v>954</v>
      </c>
      <c r="AF40" s="42">
        <f t="shared" si="23"/>
        <v>0.14981400067636116</v>
      </c>
      <c r="AG40" s="42">
        <f t="shared" si="24"/>
        <v>7.3752402648252294E-2</v>
      </c>
      <c r="AH40" s="42">
        <f t="shared" si="25"/>
        <v>0.18202614379084966</v>
      </c>
      <c r="AI40" s="42">
        <f t="shared" si="26"/>
        <v>5.2955870108243132E-2</v>
      </c>
    </row>
    <row r="41" spans="2:35" ht="16">
      <c r="B41" s="163" t="s">
        <v>371</v>
      </c>
      <c r="C41" s="164">
        <v>-12967</v>
      </c>
      <c r="D41" s="164">
        <v>-13058</v>
      </c>
      <c r="E41" s="164">
        <v>-15242</v>
      </c>
      <c r="F41" s="164">
        <v>-15891</v>
      </c>
      <c r="H41" s="42">
        <f>ABS(C41)/$C$48</f>
        <v>6.9202361002892551E-2</v>
      </c>
      <c r="I41" s="42">
        <f>ABS(D41)/$D$48</f>
        <v>7.1740157566834051E-2</v>
      </c>
      <c r="J41" s="42">
        <f>ABS(E41)/$E$48</f>
        <v>8.7149930815236656E-2</v>
      </c>
      <c r="K41" s="42">
        <f>ABS(F41)/$F$48</f>
        <v>0.10074939135727327</v>
      </c>
      <c r="Z41" s="196" t="s">
        <v>330</v>
      </c>
      <c r="AA41" s="194">
        <v>-28</v>
      </c>
      <c r="AB41" s="194">
        <v>281</v>
      </c>
      <c r="AC41" s="194">
        <v>-333</v>
      </c>
      <c r="AD41" s="194">
        <v>100</v>
      </c>
      <c r="AF41" s="42">
        <f t="shared" si="23"/>
        <v>-3.1563521587194229E-3</v>
      </c>
      <c r="AG41" s="42">
        <f t="shared" si="24"/>
        <v>2.000427137467075E-2</v>
      </c>
      <c r="AH41" s="42">
        <f t="shared" si="25"/>
        <v>-5.4411764705882354E-2</v>
      </c>
      <c r="AI41" s="42">
        <f t="shared" si="26"/>
        <v>5.550929780738274E-3</v>
      </c>
    </row>
    <row r="42" spans="2:35" ht="17" thickBot="1">
      <c r="B42" s="163" t="s">
        <v>374</v>
      </c>
      <c r="C42" s="164">
        <v>128345</v>
      </c>
      <c r="D42" s="164">
        <v>123060</v>
      </c>
      <c r="E42" s="164">
        <v>113890</v>
      </c>
      <c r="F42" s="164">
        <v>110659</v>
      </c>
      <c r="H42" s="42">
        <f>ABS(C42)/$C$48</f>
        <v>0.68495234232407221</v>
      </c>
      <c r="I42" s="42">
        <f>ABS(D42)/$D$48</f>
        <v>0.67608698040853099</v>
      </c>
      <c r="J42" s="42">
        <f>ABS(E42)/$E$48</f>
        <v>0.6511944377737372</v>
      </c>
      <c r="K42" s="42">
        <f>ABS(F42)/$F$48</f>
        <v>0.7015812030837898</v>
      </c>
      <c r="Z42" s="196" t="s">
        <v>376</v>
      </c>
      <c r="AA42" s="194">
        <v>93</v>
      </c>
      <c r="AB42" s="194">
        <v>114</v>
      </c>
      <c r="AC42" s="194">
        <v>-294</v>
      </c>
      <c r="AD42" s="194">
        <v>475</v>
      </c>
      <c r="AF42" s="42">
        <f t="shared" si="23"/>
        <v>1.048359824146094E-2</v>
      </c>
      <c r="AG42" s="42">
        <f t="shared" si="24"/>
        <v>8.1156118744215855E-3</v>
      </c>
      <c r="AH42" s="42">
        <f t="shared" si="25"/>
        <v>-4.8039215686274513E-2</v>
      </c>
      <c r="AI42" s="42">
        <f t="shared" si="26"/>
        <v>2.6366916458506799E-2</v>
      </c>
    </row>
    <row r="43" spans="2:35" ht="17" thickBot="1">
      <c r="B43" s="163"/>
      <c r="C43" s="164"/>
      <c r="D43" s="164"/>
      <c r="E43" s="164"/>
      <c r="F43" s="164"/>
      <c r="H43" s="42"/>
      <c r="I43" s="42"/>
      <c r="J43" s="42"/>
      <c r="K43" s="42"/>
      <c r="Z43" s="203" t="s">
        <v>356</v>
      </c>
      <c r="AA43" s="182">
        <f>-8871</f>
        <v>-8871</v>
      </c>
      <c r="AB43" s="182">
        <f>SUM(AB34:AB42)</f>
        <v>-14047</v>
      </c>
      <c r="AC43" s="182">
        <f>SUM(AC34:AC42)</f>
        <v>-6120</v>
      </c>
      <c r="AD43" s="182">
        <f>SUM(AD34:AD42)</f>
        <v>-18015</v>
      </c>
      <c r="AF43" s="212">
        <f t="shared" si="23"/>
        <v>-1</v>
      </c>
      <c r="AG43" s="212">
        <f t="shared" si="24"/>
        <v>-1</v>
      </c>
      <c r="AH43" s="212">
        <f t="shared" si="25"/>
        <v>-1</v>
      </c>
      <c r="AI43" s="212">
        <f t="shared" si="26"/>
        <v>-1</v>
      </c>
    </row>
    <row r="44" spans="2:35" ht="16">
      <c r="B44" s="163"/>
      <c r="C44" s="164"/>
      <c r="D44" s="164"/>
      <c r="E44" s="164"/>
      <c r="F44" s="164"/>
      <c r="H44" s="42"/>
      <c r="I44" s="42"/>
      <c r="J44" s="42"/>
      <c r="K44" s="42"/>
    </row>
    <row r="45" spans="2:35" ht="17" thickBot="1">
      <c r="B45" s="163"/>
      <c r="C45" s="164"/>
      <c r="D45" s="164"/>
      <c r="E45" s="164"/>
      <c r="F45" s="164"/>
      <c r="H45" s="42"/>
      <c r="I45" s="42"/>
      <c r="J45" s="42"/>
      <c r="K45" s="42"/>
    </row>
    <row r="46" spans="2:35" ht="16">
      <c r="B46" s="163" t="s">
        <v>381</v>
      </c>
      <c r="C46" s="164">
        <v>-41694</v>
      </c>
      <c r="D46" s="164">
        <v>-39099</v>
      </c>
      <c r="E46" s="164">
        <v>-38490</v>
      </c>
      <c r="F46" s="164">
        <v>-38417</v>
      </c>
      <c r="H46" s="42">
        <f>ABS(C46)/$C$48</f>
        <v>0.22251278164992688</v>
      </c>
      <c r="I46" s="42">
        <f>ABS(D46)/$D$48</f>
        <v>0.21480842554033117</v>
      </c>
      <c r="J46" s="42">
        <f>ABS(E46)/$E$48</f>
        <v>0.22007616041716696</v>
      </c>
      <c r="K46" s="42">
        <f>ABS(F46)/$F$48</f>
        <v>0.24356487117062284</v>
      </c>
      <c r="Z46" s="204" t="s">
        <v>382</v>
      </c>
      <c r="AA46" s="183">
        <v>-312</v>
      </c>
      <c r="AB46" s="183">
        <v>-178</v>
      </c>
      <c r="AC46" s="183">
        <v>89</v>
      </c>
      <c r="AD46" s="183">
        <v>-9</v>
      </c>
      <c r="AF46" s="184">
        <f>AA46/$AA$49</f>
        <v>-2.2085368443406243E-2</v>
      </c>
      <c r="AG46" s="184">
        <f>AB46/$AB$49</f>
        <v>-1.2286877890522538E-2</v>
      </c>
      <c r="AH46" s="184">
        <f>AC46/$AC$49</f>
        <v>6.3639613872005724E-3</v>
      </c>
      <c r="AI46" s="184">
        <f>AD46/$AD$49</f>
        <v>-5.2008090147356259E-4</v>
      </c>
    </row>
    <row r="47" spans="2:35" ht="17" thickBot="1">
      <c r="B47" s="201" t="s">
        <v>384</v>
      </c>
      <c r="C47" s="207">
        <f>SUM(C39:C46)</f>
        <v>76804</v>
      </c>
      <c r="D47" s="207">
        <f t="shared" ref="D47:F47" si="28">SUM(D39:D46)</f>
        <v>74023</v>
      </c>
      <c r="E47" s="207">
        <f t="shared" si="28"/>
        <v>63278</v>
      </c>
      <c r="F47" s="207">
        <f t="shared" si="28"/>
        <v>59471</v>
      </c>
      <c r="G47" s="196"/>
      <c r="H47" s="220">
        <f>ABS(C47)/$C$48</f>
        <v>0.40988803381400163</v>
      </c>
      <c r="I47" s="220">
        <f>ABS(D47)/$D$48</f>
        <v>0.40667955916447823</v>
      </c>
      <c r="J47" s="220">
        <f>ABS(E47)/$E$48</f>
        <v>0.36180772353539858</v>
      </c>
      <c r="K47" s="220">
        <f>ABS(F47)/$F$48</f>
        <v>0.37704782917427471</v>
      </c>
      <c r="Z47" s="196" t="s">
        <v>359</v>
      </c>
      <c r="AA47" s="194">
        <v>-360</v>
      </c>
      <c r="AB47" s="194">
        <v>502</v>
      </c>
      <c r="AC47" s="194">
        <v>-3320</v>
      </c>
      <c r="AD47" s="194">
        <v>-802</v>
      </c>
      <c r="AF47" s="42">
        <f>AA47/$AA$49</f>
        <v>-2.5483117434699512E-2</v>
      </c>
      <c r="AG47" s="42">
        <f>AB47/$AB$49</f>
        <v>3.4651756747428729E-2</v>
      </c>
      <c r="AH47" s="42">
        <f>AC47/$AC$49</f>
        <v>-0.2373972112978191</v>
      </c>
      <c r="AI47" s="42">
        <f>AD47/$AD$49</f>
        <v>-4.6344986997977462E-2</v>
      </c>
    </row>
    <row r="48" spans="2:35" ht="17" thickBot="1">
      <c r="B48" s="172" t="s">
        <v>386</v>
      </c>
      <c r="C48" s="206">
        <f>C36+C47</f>
        <v>187378</v>
      </c>
      <c r="D48" s="206">
        <f t="shared" ref="D48:F48" si="29">D36+D47</f>
        <v>182018</v>
      </c>
      <c r="E48" s="206">
        <f t="shared" si="29"/>
        <v>174894</v>
      </c>
      <c r="F48" s="206">
        <f t="shared" si="29"/>
        <v>157728</v>
      </c>
      <c r="G48" s="196"/>
      <c r="H48" s="212">
        <f>ABS(C48)/$C$48</f>
        <v>1</v>
      </c>
      <c r="I48" s="212">
        <f>ABS(D48)/$D$48</f>
        <v>1</v>
      </c>
      <c r="J48" s="212">
        <f>ABS(E48)/$E$48</f>
        <v>1</v>
      </c>
      <c r="K48" s="212">
        <f>ABS(F48)/$F$48</f>
        <v>1</v>
      </c>
      <c r="Z48" s="196" t="s">
        <v>387</v>
      </c>
      <c r="AA48" s="194">
        <v>14487</v>
      </c>
      <c r="AB48" s="194">
        <v>13985</v>
      </c>
      <c r="AC48" s="194">
        <v>17305</v>
      </c>
      <c r="AD48" s="194">
        <v>18107</v>
      </c>
      <c r="AF48" s="42">
        <f>AA48/$AA$49</f>
        <v>1.0254831174346994</v>
      </c>
      <c r="AG48" s="42">
        <f>AB48/$AB$49</f>
        <v>0.96534824325257129</v>
      </c>
      <c r="AH48" s="42">
        <f>AC48/$AC$49</f>
        <v>1.2373972112978191</v>
      </c>
      <c r="AI48" s="42">
        <f>AD48/$AD$49</f>
        <v>1.0463449869979775</v>
      </c>
    </row>
    <row r="49" spans="2:35" ht="17" thickBot="1">
      <c r="B49" s="196"/>
      <c r="H49" s="43"/>
      <c r="I49" s="43"/>
      <c r="J49" s="43"/>
      <c r="K49" s="43"/>
      <c r="Z49" s="202" t="s">
        <v>389</v>
      </c>
      <c r="AA49" s="202">
        <f>SUM(AA47:AA48)</f>
        <v>14127</v>
      </c>
      <c r="AB49" s="210">
        <f>SUM(AB47:AB48)</f>
        <v>14487</v>
      </c>
      <c r="AC49" s="210">
        <f>SUM(AC47:AC48)</f>
        <v>13985</v>
      </c>
      <c r="AD49" s="202">
        <f>SUM(AD47:AD48)</f>
        <v>17305</v>
      </c>
      <c r="AF49" s="211">
        <f>AA49/$AA$49</f>
        <v>1</v>
      </c>
      <c r="AG49" s="211">
        <f>AB49/$AB$49</f>
        <v>1</v>
      </c>
      <c r="AH49" s="211">
        <f>AC49/$AC$49</f>
        <v>1</v>
      </c>
      <c r="AI49" s="211">
        <f>AD49/$AD$49</f>
        <v>1</v>
      </c>
    </row>
    <row r="50" spans="2:35" ht="16">
      <c r="B50" s="171" t="s">
        <v>378</v>
      </c>
      <c r="C50" s="166">
        <f>C21-C48</f>
        <v>0</v>
      </c>
      <c r="D50" s="166">
        <f>D21-D48</f>
        <v>0</v>
      </c>
      <c r="E50" s="166">
        <f>E21-E48</f>
        <v>0</v>
      </c>
      <c r="F50" s="166">
        <f>F21-F48</f>
        <v>0</v>
      </c>
      <c r="H50" s="43"/>
      <c r="I50" s="43"/>
      <c r="J50" s="43"/>
      <c r="K50" s="43"/>
      <c r="Z50" s="200" t="s">
        <v>391</v>
      </c>
      <c r="AA50" s="194"/>
      <c r="AB50" s="194"/>
      <c r="AC50" s="194"/>
      <c r="AD50" s="194"/>
      <c r="AF50" s="42"/>
      <c r="AG50" s="42"/>
      <c r="AH50" s="42"/>
      <c r="AI50" s="42"/>
    </row>
    <row r="51" spans="2:35" ht="16">
      <c r="B51" s="163"/>
      <c r="Z51" s="196" t="s">
        <v>393</v>
      </c>
      <c r="AA51" s="194"/>
      <c r="AB51" s="194"/>
      <c r="AC51" s="194"/>
      <c r="AD51" s="194"/>
      <c r="AF51" s="42"/>
      <c r="AG51" s="42"/>
      <c r="AH51" s="42"/>
      <c r="AI51" s="42"/>
    </row>
    <row r="52" spans="2:35" ht="16">
      <c r="Z52" s="196" t="s">
        <v>388</v>
      </c>
      <c r="AA52" s="194">
        <v>982</v>
      </c>
      <c r="AB52" s="194">
        <v>990</v>
      </c>
      <c r="AC52" s="194">
        <v>904</v>
      </c>
      <c r="AD52" s="194">
        <v>995</v>
      </c>
      <c r="AF52" s="42"/>
      <c r="AG52" s="42"/>
      <c r="AH52" s="42"/>
      <c r="AI52" s="42"/>
    </row>
    <row r="53" spans="2:35" ht="16">
      <c r="Z53" s="196" t="s">
        <v>396</v>
      </c>
      <c r="AA53" s="194">
        <v>933</v>
      </c>
      <c r="AB53" s="194">
        <v>941</v>
      </c>
      <c r="AC53" s="194">
        <v>841</v>
      </c>
      <c r="AD53" s="194">
        <v>925</v>
      </c>
      <c r="AF53" s="42"/>
      <c r="AG53" s="42"/>
      <c r="AH53" s="42"/>
      <c r="AI53" s="42"/>
    </row>
    <row r="54" spans="2:35" ht="16">
      <c r="Z54" s="196" t="s">
        <v>390</v>
      </c>
      <c r="AA54" s="194">
        <v>5223</v>
      </c>
      <c r="AB54" s="194">
        <v>4768</v>
      </c>
      <c r="AC54" s="194">
        <v>4619</v>
      </c>
      <c r="AD54" s="194">
        <v>4191</v>
      </c>
      <c r="AF54" s="42"/>
      <c r="AG54" s="42"/>
      <c r="AH54" s="42"/>
      <c r="AI54" s="42"/>
    </row>
    <row r="55" spans="2:35" ht="16">
      <c r="Z55" s="200" t="s">
        <v>398</v>
      </c>
      <c r="AA55" s="194"/>
      <c r="AB55" s="194"/>
      <c r="AC55" s="194"/>
      <c r="AD55" s="194"/>
      <c r="AF55" s="42"/>
      <c r="AG55" s="42"/>
      <c r="AH55" s="42"/>
      <c r="AI55" s="42"/>
    </row>
    <row r="56" spans="2:35" ht="16">
      <c r="Z56" s="196" t="s">
        <v>399</v>
      </c>
      <c r="AA56" s="194">
        <v>2114</v>
      </c>
      <c r="AB56" s="194">
        <v>1811</v>
      </c>
      <c r="AC56" s="194">
        <v>1937</v>
      </c>
      <c r="AD56" s="194">
        <v>1736</v>
      </c>
      <c r="AF56" s="42"/>
      <c r="AG56" s="42"/>
      <c r="AH56" s="42"/>
      <c r="AI56" s="42"/>
    </row>
    <row r="57" spans="2:35" ht="16">
      <c r="Z57" s="196" t="s">
        <v>400</v>
      </c>
      <c r="AA57" s="195" t="s">
        <v>49</v>
      </c>
      <c r="AB57" s="195" t="s">
        <v>49</v>
      </c>
      <c r="AC57" s="194">
        <v>27</v>
      </c>
      <c r="AD57" s="194">
        <v>1</v>
      </c>
      <c r="AF57" s="42"/>
      <c r="AG57" s="42"/>
      <c r="AH57" s="42"/>
      <c r="AI57" s="42"/>
    </row>
    <row r="58" spans="2:35" ht="16">
      <c r="Z58" s="200" t="s">
        <v>401</v>
      </c>
      <c r="AA58" s="194"/>
      <c r="AB58" s="194"/>
      <c r="AC58" s="194"/>
      <c r="AD58" s="194"/>
      <c r="AF58" s="42"/>
      <c r="AG58" s="42"/>
      <c r="AH58" s="42"/>
      <c r="AI58" s="42"/>
    </row>
    <row r="59" spans="2:35" ht="16">
      <c r="Z59" s="196" t="s">
        <v>402</v>
      </c>
      <c r="AA59" s="194">
        <v>18710</v>
      </c>
      <c r="AB59" s="194">
        <v>61</v>
      </c>
      <c r="AC59" s="194">
        <v>7755</v>
      </c>
      <c r="AD59" s="194">
        <v>7228</v>
      </c>
      <c r="AF59" s="42"/>
      <c r="AG59" s="42"/>
      <c r="AH59" s="42"/>
      <c r="AI59" s="42"/>
    </row>
    <row r="60" spans="2:35" ht="17" thickBot="1">
      <c r="Z60" s="196" t="s">
        <v>403</v>
      </c>
      <c r="AA60" s="194">
        <v>-1058</v>
      </c>
      <c r="AB60" s="194">
        <v>-1</v>
      </c>
      <c r="AC60" s="194">
        <v>-432</v>
      </c>
      <c r="AD60" s="194">
        <v>-1418</v>
      </c>
      <c r="AF60" s="42"/>
      <c r="AG60" s="42"/>
      <c r="AH60" s="42"/>
      <c r="AI60" s="42"/>
    </row>
    <row r="61" spans="2:35" ht="17" thickBot="1">
      <c r="Z61" s="202" t="s">
        <v>404</v>
      </c>
      <c r="AA61" s="202">
        <f>SUM(AA59:AA60)</f>
        <v>17652</v>
      </c>
      <c r="AB61" s="202">
        <f>SUM(AB59:AB60)</f>
        <v>60</v>
      </c>
      <c r="AC61" s="202">
        <f>SUM(AC59:AC60)</f>
        <v>7323</v>
      </c>
      <c r="AD61" s="202">
        <f>SUM(AD59:AD60)</f>
        <v>5810</v>
      </c>
      <c r="AF61" s="42"/>
      <c r="AG61" s="42"/>
      <c r="AH61" s="42"/>
      <c r="AI61" s="42"/>
    </row>
  </sheetData>
  <mergeCells count="12">
    <mergeCell ref="AA5:AD5"/>
    <mergeCell ref="AF5:AI5"/>
    <mergeCell ref="Z3:AD3"/>
    <mergeCell ref="AF3:AI3"/>
    <mergeCell ref="T5:W5"/>
    <mergeCell ref="T3:W3"/>
    <mergeCell ref="C5:F5"/>
    <mergeCell ref="B3:F3"/>
    <mergeCell ref="H5:K5"/>
    <mergeCell ref="H3:K3"/>
    <mergeCell ref="O5:R5"/>
    <mergeCell ref="N3:R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46B39-0328-49F5-96C1-70B9F2B1E59D}">
  <dimension ref="B3:AI53"/>
  <sheetViews>
    <sheetView topLeftCell="B2" zoomScale="60" zoomScaleNormal="60" workbookViewId="0">
      <selection activeCell="O12" sqref="O12"/>
    </sheetView>
  </sheetViews>
  <sheetFormatPr baseColWidth="10" defaultColWidth="11.5" defaultRowHeight="15"/>
  <cols>
    <col min="2" max="2" width="43.1640625" bestFit="1" customWidth="1"/>
    <col min="3" max="6" width="13" bestFit="1" customWidth="1"/>
    <col min="7" max="7" width="9.1640625" bestFit="1" customWidth="1"/>
    <col min="8" max="8" width="11" customWidth="1"/>
    <col min="12" max="12" width="9.1640625" bestFit="1" customWidth="1"/>
    <col min="13" max="13" width="9.1640625" style="121" bestFit="1" customWidth="1"/>
    <col min="14" max="14" width="48.5" customWidth="1"/>
    <col min="19" max="19" width="6.83203125" customWidth="1"/>
    <col min="20" max="20" width="13.6640625" customWidth="1"/>
    <col min="21" max="21" width="11.83203125" customWidth="1"/>
    <col min="22" max="22" width="11.5" customWidth="1"/>
    <col min="23" max="23" width="12.5" customWidth="1"/>
    <col min="24" max="24" width="10.83203125" style="1"/>
    <col min="25" max="25" width="10.83203125" style="219"/>
    <col min="26" max="26" width="67.33203125" customWidth="1"/>
    <col min="32" max="35" width="12.1640625" bestFit="1" customWidth="1"/>
  </cols>
  <sheetData>
    <row r="3" spans="2:35">
      <c r="B3" s="369" t="s">
        <v>232</v>
      </c>
      <c r="C3" s="369"/>
      <c r="D3" s="369"/>
      <c r="E3" s="369"/>
      <c r="F3" s="369"/>
      <c r="H3" s="380" t="s">
        <v>424</v>
      </c>
      <c r="I3" s="380"/>
      <c r="J3" s="380"/>
      <c r="K3" s="380"/>
      <c r="N3" s="369" t="s">
        <v>233</v>
      </c>
      <c r="O3" s="369"/>
      <c r="P3" s="369"/>
      <c r="Q3" s="369"/>
      <c r="R3" s="369"/>
      <c r="S3" s="192"/>
      <c r="T3" s="380" t="s">
        <v>425</v>
      </c>
      <c r="U3" s="380"/>
      <c r="V3" s="380"/>
      <c r="W3" s="380"/>
      <c r="Z3" s="369" t="s">
        <v>234</v>
      </c>
      <c r="AA3" s="369"/>
      <c r="AB3" s="369"/>
      <c r="AC3" s="369"/>
      <c r="AD3" s="369"/>
      <c r="AF3" s="380" t="s">
        <v>426</v>
      </c>
      <c r="AG3" s="380"/>
      <c r="AH3" s="380"/>
      <c r="AI3" s="380"/>
    </row>
    <row r="5" spans="2:35">
      <c r="C5" s="368" t="s">
        <v>165</v>
      </c>
      <c r="D5" s="368"/>
      <c r="E5" s="368"/>
      <c r="F5" s="368"/>
      <c r="H5" s="368" t="s">
        <v>165</v>
      </c>
      <c r="I5" s="368"/>
      <c r="J5" s="368"/>
      <c r="K5" s="368"/>
      <c r="O5" s="368" t="s">
        <v>165</v>
      </c>
      <c r="P5" s="368"/>
      <c r="Q5" s="368"/>
      <c r="R5" s="368"/>
      <c r="T5" s="368" t="s">
        <v>165</v>
      </c>
      <c r="U5" s="368"/>
      <c r="V5" s="368"/>
      <c r="W5" s="368"/>
      <c r="AA5" s="368" t="s">
        <v>165</v>
      </c>
      <c r="AB5" s="368"/>
      <c r="AC5" s="368"/>
      <c r="AD5" s="368"/>
      <c r="AF5" s="368" t="s">
        <v>165</v>
      </c>
      <c r="AG5" s="368"/>
      <c r="AH5" s="368"/>
      <c r="AI5" s="368"/>
    </row>
    <row r="6" spans="2:35" ht="16" thickBot="1">
      <c r="C6" s="2">
        <v>2022</v>
      </c>
      <c r="D6" s="2">
        <v>2021</v>
      </c>
      <c r="E6" s="2">
        <v>2020</v>
      </c>
      <c r="F6" s="2">
        <v>2019</v>
      </c>
      <c r="H6" s="2">
        <v>2022</v>
      </c>
      <c r="I6" s="2">
        <v>2021</v>
      </c>
      <c r="J6" s="2">
        <v>2020</v>
      </c>
      <c r="K6" s="2">
        <v>2019</v>
      </c>
      <c r="O6" s="2">
        <v>2022</v>
      </c>
      <c r="P6" s="2">
        <v>2021</v>
      </c>
      <c r="Q6" s="2">
        <v>2020</v>
      </c>
      <c r="R6" s="2">
        <v>2019</v>
      </c>
      <c r="T6" s="2">
        <v>2022</v>
      </c>
      <c r="U6" s="2">
        <v>2021</v>
      </c>
      <c r="V6" s="2">
        <v>2020</v>
      </c>
      <c r="W6" s="2">
        <v>2019</v>
      </c>
      <c r="AA6" s="2">
        <v>2022</v>
      </c>
      <c r="AB6" s="2">
        <v>2021</v>
      </c>
      <c r="AC6" s="2">
        <v>2020</v>
      </c>
      <c r="AD6" s="2">
        <v>2019</v>
      </c>
      <c r="AF6" s="2">
        <v>2022</v>
      </c>
      <c r="AG6" s="2">
        <v>2021</v>
      </c>
      <c r="AH6" s="2">
        <v>2020</v>
      </c>
      <c r="AI6" s="2">
        <v>2019</v>
      </c>
    </row>
    <row r="7" spans="2:35" ht="17" thickBot="1">
      <c r="B7" s="1" t="s">
        <v>235</v>
      </c>
      <c r="N7" s="172" t="s">
        <v>236</v>
      </c>
      <c r="O7" s="176">
        <v>313651</v>
      </c>
      <c r="P7" s="176">
        <v>318639</v>
      </c>
      <c r="Q7" s="176">
        <v>300522</v>
      </c>
      <c r="R7" s="176">
        <v>235587</v>
      </c>
      <c r="T7" s="175">
        <f t="shared" ref="T7:T14" si="0">O7/$O$7</f>
        <v>1</v>
      </c>
      <c r="U7" s="175">
        <f t="shared" ref="U7:U14" si="1">P7/$P$7</f>
        <v>1</v>
      </c>
      <c r="V7" s="175">
        <f t="shared" ref="V7:V14" si="2">Q7/$Q$7</f>
        <v>1</v>
      </c>
      <c r="W7" s="175">
        <f t="shared" ref="W7:W14" si="3">R7/$R$7</f>
        <v>1</v>
      </c>
      <c r="Z7" s="200" t="s">
        <v>237</v>
      </c>
      <c r="AF7" s="42"/>
      <c r="AG7" s="42"/>
      <c r="AH7" s="42"/>
      <c r="AI7" s="42"/>
    </row>
    <row r="8" spans="2:35" ht="16">
      <c r="B8" s="1" t="s">
        <v>238</v>
      </c>
      <c r="N8" s="196" t="s">
        <v>239</v>
      </c>
      <c r="O8" s="194">
        <v>-221336</v>
      </c>
      <c r="P8" s="10">
        <v>-209467</v>
      </c>
      <c r="Q8" s="10">
        <v>-192626</v>
      </c>
      <c r="R8" s="10">
        <v>-159733</v>
      </c>
      <c r="T8" s="188">
        <f t="shared" si="0"/>
        <v>-0.70567605395806166</v>
      </c>
      <c r="U8" s="188">
        <f t="shared" si="1"/>
        <v>-0.65738029556959443</v>
      </c>
      <c r="V8" s="188">
        <f t="shared" si="2"/>
        <v>-0.64097137647160607</v>
      </c>
      <c r="W8" s="188">
        <f t="shared" si="3"/>
        <v>-0.67802128300797582</v>
      </c>
      <c r="Z8" s="196" t="s">
        <v>241</v>
      </c>
      <c r="AA8" s="194">
        <v>-49019</v>
      </c>
      <c r="AB8" s="194">
        <v>-38679</v>
      </c>
      <c r="AC8" s="194">
        <v>-14466</v>
      </c>
      <c r="AD8" s="194">
        <v>-31083</v>
      </c>
      <c r="AF8" s="42">
        <f>AA8/$AA$20</f>
        <v>0.64266142248443137</v>
      </c>
      <c r="AG8" s="42">
        <f>AB8/$AB$20</f>
        <v>1.0137600251611889</v>
      </c>
      <c r="AH8" s="42">
        <f>AC8/$AC$20</f>
        <v>1.1989060169070114</v>
      </c>
      <c r="AI8" s="42">
        <f>AD8/$AD$20</f>
        <v>1.5547719087635055</v>
      </c>
    </row>
    <row r="9" spans="2:35" ht="16">
      <c r="B9" s="163" t="s">
        <v>242</v>
      </c>
      <c r="C9" s="194">
        <v>9517</v>
      </c>
      <c r="D9" s="194">
        <v>50791</v>
      </c>
      <c r="E9" s="194">
        <v>29259</v>
      </c>
      <c r="F9" s="194">
        <v>13543</v>
      </c>
      <c r="H9" s="42">
        <f t="shared" ref="H9:H21" si="4">C9/$C$21</f>
        <v>3.9555442873827402E-2</v>
      </c>
      <c r="I9" s="42">
        <f t="shared" ref="I9:I15" si="5">D9/$D$21</f>
        <v>0.18632266679383852</v>
      </c>
      <c r="J9" s="42">
        <f t="shared" ref="J9:J21" si="6">E9/$E$21</f>
        <v>0.12154179751757141</v>
      </c>
      <c r="K9" s="42">
        <f>F9/$F$21</f>
        <v>5.787062754783738E-2</v>
      </c>
      <c r="N9" s="197" t="s">
        <v>179</v>
      </c>
      <c r="O9" s="186">
        <f>O7+O8</f>
        <v>92315</v>
      </c>
      <c r="P9" s="186">
        <f>P7+P8</f>
        <v>109172</v>
      </c>
      <c r="Q9" s="186">
        <f>Q7+Q8</f>
        <v>107896</v>
      </c>
      <c r="R9" s="186">
        <f>R7+R8</f>
        <v>75854</v>
      </c>
      <c r="T9" s="191">
        <f t="shared" si="0"/>
        <v>0.29432394604193834</v>
      </c>
      <c r="U9" s="191">
        <f t="shared" si="1"/>
        <v>0.34261970443040557</v>
      </c>
      <c r="V9" s="191">
        <f t="shared" si="2"/>
        <v>0.35902862352839393</v>
      </c>
      <c r="W9" s="191">
        <f t="shared" si="3"/>
        <v>0.32197871699202418</v>
      </c>
      <c r="Z9" s="196" t="s">
        <v>244</v>
      </c>
      <c r="AF9" s="42"/>
      <c r="AG9" s="42"/>
      <c r="AH9" s="42"/>
      <c r="AI9" s="42"/>
    </row>
    <row r="10" spans="2:35" ht="16">
      <c r="B10" s="163" t="s">
        <v>246</v>
      </c>
      <c r="C10" s="10"/>
      <c r="D10" s="194"/>
      <c r="E10" s="194">
        <v>1752</v>
      </c>
      <c r="F10" s="195" t="s">
        <v>49</v>
      </c>
      <c r="H10" s="42">
        <f t="shared" si="4"/>
        <v>0</v>
      </c>
      <c r="I10" s="42">
        <f t="shared" si="5"/>
        <v>0</v>
      </c>
      <c r="J10" s="42">
        <f t="shared" si="6"/>
        <v>7.2778027017596329E-3</v>
      </c>
      <c r="K10" s="42"/>
      <c r="N10" s="196" t="s">
        <v>247</v>
      </c>
      <c r="O10" s="10">
        <v>-135099</v>
      </c>
      <c r="P10" s="10">
        <v>-138319</v>
      </c>
      <c r="Q10" s="10">
        <v>-115731</v>
      </c>
      <c r="R10" s="10">
        <v>-102174</v>
      </c>
      <c r="T10" s="188">
        <f t="shared" si="0"/>
        <v>-0.4307303340336871</v>
      </c>
      <c r="U10" s="188">
        <f t="shared" si="1"/>
        <v>-0.43409312733218469</v>
      </c>
      <c r="V10" s="188">
        <f t="shared" si="2"/>
        <v>-0.38509992612853633</v>
      </c>
      <c r="W10" s="188">
        <f t="shared" si="3"/>
        <v>-0.43369965235772773</v>
      </c>
      <c r="Z10" s="196" t="s">
        <v>249</v>
      </c>
      <c r="AA10" s="194">
        <v>2753</v>
      </c>
      <c r="AB10" s="194">
        <v>4146</v>
      </c>
      <c r="AC10" s="194">
        <v>4854</v>
      </c>
      <c r="AD10" s="194">
        <v>7672</v>
      </c>
      <c r="AF10" s="42">
        <f>AA10/$AA$20</f>
        <v>-3.6093084234677157E-2</v>
      </c>
      <c r="AG10" s="42">
        <f>AB10/$AB$20</f>
        <v>-0.10866488441578864</v>
      </c>
      <c r="AH10" s="42">
        <f>AC10/$AC$20</f>
        <v>-0.40228741919443062</v>
      </c>
      <c r="AI10" s="42">
        <f>AD10/$AD$20</f>
        <v>-0.38375350140056025</v>
      </c>
    </row>
    <row r="11" spans="2:35" ht="16">
      <c r="B11" s="163" t="s">
        <v>251</v>
      </c>
      <c r="C11" s="194">
        <v>5650</v>
      </c>
      <c r="D11" s="194">
        <v>42388</v>
      </c>
      <c r="E11" s="194">
        <v>34425</v>
      </c>
      <c r="F11" s="194">
        <v>71479</v>
      </c>
      <c r="H11" s="42">
        <f t="shared" si="4"/>
        <v>2.348305687056056E-2</v>
      </c>
      <c r="I11" s="42">
        <f t="shared" si="5"/>
        <v>0.15549694237280676</v>
      </c>
      <c r="J11" s="42">
        <f t="shared" si="6"/>
        <v>0.1430013458950202</v>
      </c>
      <c r="K11" s="42">
        <f>F11/$F$21</f>
        <v>0.30543709565767319</v>
      </c>
      <c r="N11" s="196" t="s">
        <v>252</v>
      </c>
      <c r="O11" s="10">
        <v>-6996</v>
      </c>
      <c r="P11" s="10">
        <v>-7679</v>
      </c>
      <c r="Q11" s="10">
        <v>-5705</v>
      </c>
      <c r="R11" s="10">
        <v>-5137</v>
      </c>
      <c r="T11" s="188">
        <f t="shared" si="0"/>
        <v>-2.2305046054372536E-2</v>
      </c>
      <c r="U11" s="188">
        <f t="shared" si="1"/>
        <v>-2.4099372644277695E-2</v>
      </c>
      <c r="V11" s="188">
        <f t="shared" si="2"/>
        <v>-1.8983635141520423E-2</v>
      </c>
      <c r="W11" s="188">
        <f t="shared" si="3"/>
        <v>-2.1805108091702854E-2</v>
      </c>
      <c r="Z11" s="196" t="s">
        <v>254</v>
      </c>
      <c r="AA11" s="194">
        <v>15078</v>
      </c>
      <c r="AB11" s="194">
        <v>16847</v>
      </c>
      <c r="AC11" s="194">
        <v>7905</v>
      </c>
      <c r="AD11" s="194">
        <v>8380</v>
      </c>
      <c r="AF11" s="42">
        <f>AA11/$AA$20</f>
        <v>-0.19767944936086529</v>
      </c>
      <c r="AG11" s="42">
        <f>AB11/$AB$20</f>
        <v>-0.44155265502961683</v>
      </c>
      <c r="AH11" s="42">
        <f>AC11/$AC$20</f>
        <v>-0.65514669318746888</v>
      </c>
      <c r="AI11" s="42">
        <f>AD11/$AD$20</f>
        <v>-0.41916766706682673</v>
      </c>
    </row>
    <row r="12" spans="2:35" ht="16">
      <c r="B12" s="163" t="s">
        <v>255</v>
      </c>
      <c r="C12" s="194">
        <v>42334</v>
      </c>
      <c r="D12" s="194">
        <v>31784</v>
      </c>
      <c r="E12" s="194">
        <v>22795</v>
      </c>
      <c r="F12" s="194">
        <v>24256</v>
      </c>
      <c r="H12" s="42">
        <f t="shared" si="4"/>
        <v>0.17595251850589569</v>
      </c>
      <c r="I12" s="42">
        <f t="shared" si="5"/>
        <v>0.11659702784696824</v>
      </c>
      <c r="J12" s="42">
        <f t="shared" si="6"/>
        <v>9.4690361065417145E-2</v>
      </c>
      <c r="K12" s="42">
        <f>F12/$F$21</f>
        <v>0.10364837493910829</v>
      </c>
      <c r="N12" s="197" t="s">
        <v>256</v>
      </c>
      <c r="O12" s="186">
        <f>O10+O11</f>
        <v>-142095</v>
      </c>
      <c r="P12" s="186">
        <f>P10+P11</f>
        <v>-145998</v>
      </c>
      <c r="Q12" s="186">
        <f>Q10+Q11</f>
        <v>-121436</v>
      </c>
      <c r="R12" s="186">
        <f>R10+R11</f>
        <v>-107311</v>
      </c>
      <c r="T12" s="191">
        <f t="shared" si="0"/>
        <v>-0.45303538008805966</v>
      </c>
      <c r="U12" s="191">
        <f t="shared" si="1"/>
        <v>-0.45819249997646239</v>
      </c>
      <c r="V12" s="191">
        <f t="shared" si="2"/>
        <v>-0.40408356127005679</v>
      </c>
      <c r="W12" s="191">
        <f t="shared" si="3"/>
        <v>-0.45550476044943056</v>
      </c>
      <c r="Z12" s="196" t="s">
        <v>258</v>
      </c>
      <c r="AA12" s="194">
        <v>6345</v>
      </c>
      <c r="AB12" s="194">
        <v>311</v>
      </c>
      <c r="AC12" s="194">
        <v>166</v>
      </c>
      <c r="AD12" s="194">
        <v>-156</v>
      </c>
      <c r="AF12" s="42">
        <f>AA12/$AA$20</f>
        <v>-8.3185840707964601E-2</v>
      </c>
      <c r="AG12" s="42">
        <f>AB12/$AB$20</f>
        <v>-8.1511768097709287E-3</v>
      </c>
      <c r="AH12" s="42">
        <f>AC12/$AC$20</f>
        <v>-1.3757666169401625E-2</v>
      </c>
      <c r="AI12" s="42">
        <f>AD12/$AD$20</f>
        <v>7.8031212484993995E-3</v>
      </c>
    </row>
    <row r="13" spans="2:35" ht="16">
      <c r="B13" s="163" t="s">
        <v>169</v>
      </c>
      <c r="C13" s="194">
        <v>115664</v>
      </c>
      <c r="D13" s="194">
        <v>75668</v>
      </c>
      <c r="E13" s="194">
        <v>76669</v>
      </c>
      <c r="F13" s="194">
        <v>52541</v>
      </c>
      <c r="H13" s="42">
        <f t="shared" si="4"/>
        <v>0.48073350263301179</v>
      </c>
      <c r="I13" s="42">
        <f t="shared" si="5"/>
        <v>0.27758192496615886</v>
      </c>
      <c r="J13" s="42">
        <f t="shared" si="6"/>
        <v>0.31848279414452585</v>
      </c>
      <c r="K13" s="42">
        <f>F13/$F$21</f>
        <v>0.22451307996684072</v>
      </c>
      <c r="N13" s="198" t="s">
        <v>180</v>
      </c>
      <c r="O13" s="187">
        <f>O9+O12</f>
        <v>-49780</v>
      </c>
      <c r="P13" s="187">
        <f>P9+P12</f>
        <v>-36826</v>
      </c>
      <c r="Q13" s="187">
        <f>Q9+Q12</f>
        <v>-13540</v>
      </c>
      <c r="R13" s="187">
        <f>R9+R12</f>
        <v>-31457</v>
      </c>
      <c r="T13" s="221">
        <f t="shared" si="0"/>
        <v>-0.15871143404612131</v>
      </c>
      <c r="U13" s="221">
        <f t="shared" si="1"/>
        <v>-0.11557279554605682</v>
      </c>
      <c r="V13" s="221">
        <f t="shared" si="2"/>
        <v>-4.5054937741662839E-2</v>
      </c>
      <c r="W13" s="221">
        <f t="shared" si="3"/>
        <v>-0.1335260434574064</v>
      </c>
      <c r="Z13" s="196" t="s">
        <v>261</v>
      </c>
      <c r="AA13" s="194"/>
      <c r="AB13" s="195"/>
      <c r="AC13" s="194"/>
      <c r="AD13" s="195"/>
      <c r="AF13" s="42"/>
      <c r="AG13" s="42"/>
      <c r="AH13" s="42"/>
      <c r="AI13" s="42"/>
    </row>
    <row r="14" spans="2:35" ht="16">
      <c r="B14" s="163" t="s">
        <v>263</v>
      </c>
      <c r="C14" s="194">
        <v>15982</v>
      </c>
      <c r="D14" s="194">
        <v>13165</v>
      </c>
      <c r="E14" s="194">
        <v>8657</v>
      </c>
      <c r="F14" s="194">
        <v>6073</v>
      </c>
      <c r="H14" s="42">
        <f t="shared" si="4"/>
        <v>6.6425878744300684E-2</v>
      </c>
      <c r="I14" s="42">
        <f t="shared" si="5"/>
        <v>4.8294735451967559E-2</v>
      </c>
      <c r="J14" s="42">
        <f t="shared" si="6"/>
        <v>3.5961151820281471E-2</v>
      </c>
      <c r="K14" s="42">
        <f>F14/$F$21</f>
        <v>2.5950551657536472E-2</v>
      </c>
      <c r="N14" s="196" t="s">
        <v>264</v>
      </c>
      <c r="O14" s="10">
        <v>871</v>
      </c>
      <c r="P14" s="10">
        <v>-1776</v>
      </c>
      <c r="Q14" s="10">
        <v>-837</v>
      </c>
      <c r="R14" s="10">
        <v>429</v>
      </c>
      <c r="T14" s="188">
        <f t="shared" si="0"/>
        <v>2.776971857255357E-3</v>
      </c>
      <c r="U14" s="188">
        <f t="shared" si="1"/>
        <v>-5.5737056669145964E-3</v>
      </c>
      <c r="V14" s="188">
        <f t="shared" si="2"/>
        <v>-2.7851538323317429E-3</v>
      </c>
      <c r="W14" s="188">
        <f t="shared" si="3"/>
        <v>1.8209833309987392E-3</v>
      </c>
      <c r="Z14" s="196" t="s">
        <v>255</v>
      </c>
      <c r="AA14" s="194">
        <v>-10550</v>
      </c>
      <c r="AB14" s="194">
        <v>-8989</v>
      </c>
      <c r="AC14" s="194">
        <v>1461</v>
      </c>
      <c r="AD14" s="194">
        <v>-2458</v>
      </c>
      <c r="AF14" s="42">
        <f t="shared" ref="AF14:AF20" si="7">AA14/$AA$20</f>
        <v>0.13831530645689938</v>
      </c>
      <c r="AG14" s="42">
        <f>AB14/$AB$20</f>
        <v>0.235597840331289</v>
      </c>
      <c r="AH14" s="42">
        <f>AC14/$AC$20</f>
        <v>-0.12108403779214322</v>
      </c>
      <c r="AI14" s="42">
        <f>AD14/$AD$20</f>
        <v>0.12294917967186875</v>
      </c>
    </row>
    <row r="15" spans="2:35" ht="17" thickBot="1">
      <c r="B15" s="168" t="s">
        <v>266</v>
      </c>
      <c r="C15" s="205">
        <f>SUM(C9:C14)</f>
        <v>189147</v>
      </c>
      <c r="D15" s="205">
        <f>SUM(D9:D14)</f>
        <v>213796</v>
      </c>
      <c r="E15" s="205">
        <f>SUM(E9:E14)</f>
        <v>173557</v>
      </c>
      <c r="F15" s="205">
        <f>SUM(F9:F14)</f>
        <v>167892</v>
      </c>
      <c r="H15" s="174">
        <f t="shared" si="4"/>
        <v>0.78615039962759614</v>
      </c>
      <c r="I15" s="174">
        <f t="shared" si="5"/>
        <v>0.78429329743173992</v>
      </c>
      <c r="J15" s="174">
        <f t="shared" si="6"/>
        <v>0.72095525314457576</v>
      </c>
      <c r="K15" s="174">
        <f>F15/$F$21</f>
        <v>0.71741972976899604</v>
      </c>
      <c r="N15" s="196" t="s">
        <v>267</v>
      </c>
      <c r="O15" s="193" t="s">
        <v>49</v>
      </c>
      <c r="P15" s="193" t="s">
        <v>49</v>
      </c>
      <c r="Q15" s="193" t="s">
        <v>49</v>
      </c>
      <c r="R15" s="193" t="s">
        <v>49</v>
      </c>
      <c r="T15" s="188"/>
      <c r="U15" s="188"/>
      <c r="V15" s="188"/>
      <c r="W15" s="188"/>
      <c r="Z15" s="196" t="s">
        <v>169</v>
      </c>
      <c r="AA15" s="194">
        <v>-39996</v>
      </c>
      <c r="AB15" s="194">
        <v>1001</v>
      </c>
      <c r="AC15" s="194">
        <v>-24129</v>
      </c>
      <c r="AD15" s="10">
        <v>4649</v>
      </c>
      <c r="AF15" s="42">
        <f t="shared" si="7"/>
        <v>0.52436578171091441</v>
      </c>
      <c r="AG15" s="42">
        <f>AB15/$AB$20</f>
        <v>-2.623578130733344E-2</v>
      </c>
      <c r="AH15" s="42">
        <f>AC15/$AC$20</f>
        <v>1.9997513674788663</v>
      </c>
      <c r="AI15" s="42">
        <f>AD15/$AD$20</f>
        <v>-0.23254301720688275</v>
      </c>
    </row>
    <row r="16" spans="2:35" ht="16">
      <c r="B16" s="163" t="s">
        <v>270</v>
      </c>
      <c r="C16" s="194">
        <v>29947</v>
      </c>
      <c r="D16" s="195" t="s">
        <v>49</v>
      </c>
      <c r="E16" s="194">
        <v>6189</v>
      </c>
      <c r="F16" s="195" t="s">
        <v>49</v>
      </c>
      <c r="H16" s="42">
        <f t="shared" si="4"/>
        <v>0.12446851400047382</v>
      </c>
      <c r="I16" s="42"/>
      <c r="J16" s="42">
        <f t="shared" si="6"/>
        <v>2.5709087283784456E-2</v>
      </c>
      <c r="K16" s="42"/>
      <c r="N16" s="197" t="s">
        <v>271</v>
      </c>
      <c r="O16" s="186">
        <f>SUM(O13:O15)</f>
        <v>-48909</v>
      </c>
      <c r="P16" s="186">
        <f>SUM(P13:P15)</f>
        <v>-38602</v>
      </c>
      <c r="Q16" s="186">
        <f>SUM(Q13:Q15)</f>
        <v>-14377</v>
      </c>
      <c r="R16" s="186">
        <f>SUM(R13:R15)</f>
        <v>-31028</v>
      </c>
      <c r="T16" s="191">
        <f>O16/$O$7</f>
        <v>-0.15593446218886597</v>
      </c>
      <c r="U16" s="191">
        <f>P16/$P$7</f>
        <v>-0.12114650121297142</v>
      </c>
      <c r="V16" s="191">
        <f>Q16/$Q$7</f>
        <v>-4.7840091573994582E-2</v>
      </c>
      <c r="W16" s="191">
        <f>R16/$R$7</f>
        <v>-0.13170506012640765</v>
      </c>
      <c r="Z16" s="196" t="s">
        <v>273</v>
      </c>
      <c r="AA16" s="194">
        <v>-4358</v>
      </c>
      <c r="AB16" s="194">
        <v>-6114</v>
      </c>
      <c r="AC16" s="194">
        <v>-1496</v>
      </c>
      <c r="AD16" s="194">
        <v>-1421</v>
      </c>
      <c r="AF16" s="42">
        <f t="shared" si="7"/>
        <v>5.7135365453949524E-2</v>
      </c>
      <c r="AG16" s="42">
        <f>AB16/$AB$20</f>
        <v>0.16024532159144519</v>
      </c>
      <c r="AH16" s="42">
        <f>AC16/$AC$20</f>
        <v>0.12398475053870379</v>
      </c>
      <c r="AI16" s="42">
        <f>AD16/$AD$20</f>
        <v>7.1078431372549017E-2</v>
      </c>
    </row>
    <row r="17" spans="2:35" ht="16">
      <c r="B17" s="163" t="s">
        <v>275</v>
      </c>
      <c r="C17" s="194">
        <v>14327</v>
      </c>
      <c r="D17" s="194">
        <v>52952</v>
      </c>
      <c r="E17" s="194">
        <v>56703</v>
      </c>
      <c r="F17" s="194">
        <v>61224</v>
      </c>
      <c r="H17" s="42">
        <f t="shared" si="4"/>
        <v>5.9547213413189581E-2</v>
      </c>
      <c r="I17" s="42">
        <f>D17/$D$21</f>
        <v>0.19425012014072054</v>
      </c>
      <c r="J17" s="42">
        <f t="shared" si="6"/>
        <v>0.2355440905239021</v>
      </c>
      <c r="K17" s="42">
        <f>F17/$F$21</f>
        <v>0.26161642922460282</v>
      </c>
      <c r="N17" s="196" t="s">
        <v>276</v>
      </c>
      <c r="O17">
        <v>-110</v>
      </c>
      <c r="P17">
        <v>-77</v>
      </c>
      <c r="Q17">
        <v>-89</v>
      </c>
      <c r="R17">
        <v>-55</v>
      </c>
      <c r="T17" s="188">
        <f>O17/$O$7</f>
        <v>-3.5070827129516567E-4</v>
      </c>
      <c r="U17" s="188">
        <f>P17/$P$7</f>
        <v>-2.4165277947771617E-4</v>
      </c>
      <c r="V17" s="188">
        <f>Q17/$Q$7</f>
        <v>-2.9615136329453419E-4</v>
      </c>
      <c r="W17" s="188">
        <f>R17/$R$7</f>
        <v>-2.334594014100948E-4</v>
      </c>
      <c r="Z17" s="196" t="s">
        <v>278</v>
      </c>
      <c r="AA17" s="10">
        <v>10396</v>
      </c>
      <c r="AB17" s="194">
        <v>-6691</v>
      </c>
      <c r="AC17" s="194">
        <v>13748</v>
      </c>
      <c r="AD17" s="194">
        <v>-5163</v>
      </c>
      <c r="AF17" s="42">
        <f t="shared" si="7"/>
        <v>-0.1362962962962963</v>
      </c>
      <c r="AG17" s="42">
        <f>AB17/$AB$20</f>
        <v>0.17536824448288515</v>
      </c>
      <c r="AH17" s="42">
        <f>AC17/$AC$20</f>
        <v>-1.1393999668489971</v>
      </c>
      <c r="AI17" s="42">
        <f>AD17/$AD$20</f>
        <v>0.25825330132052821</v>
      </c>
    </row>
    <row r="18" spans="2:35" ht="17" thickBot="1">
      <c r="B18" s="163" t="s">
        <v>280</v>
      </c>
      <c r="C18" s="194">
        <v>2230</v>
      </c>
      <c r="D18" s="194">
        <v>2230</v>
      </c>
      <c r="E18" s="194">
        <v>2230</v>
      </c>
      <c r="F18" s="194">
        <v>2230</v>
      </c>
      <c r="H18" s="42">
        <f t="shared" si="4"/>
        <v>9.2685339506814249E-3</v>
      </c>
      <c r="I18" s="42">
        <f>D18/$D$21</f>
        <v>8.1805742543021379E-3</v>
      </c>
      <c r="J18" s="42">
        <f t="shared" si="6"/>
        <v>9.2634132562351493E-3</v>
      </c>
      <c r="K18" s="42">
        <f>F18/$F$21</f>
        <v>9.52901863927323E-3</v>
      </c>
      <c r="N18" s="196" t="s">
        <v>281</v>
      </c>
      <c r="O18" s="120" t="s">
        <v>49</v>
      </c>
      <c r="P18" s="120" t="s">
        <v>49</v>
      </c>
      <c r="Q18" s="120" t="s">
        <v>49</v>
      </c>
      <c r="R18" s="120" t="s">
        <v>49</v>
      </c>
      <c r="T18" s="188"/>
      <c r="U18" s="188"/>
      <c r="V18" s="188"/>
      <c r="W18" s="188"/>
      <c r="Z18" s="196" t="s">
        <v>283</v>
      </c>
      <c r="AA18">
        <v>83</v>
      </c>
      <c r="AB18" s="194">
        <v>14</v>
      </c>
      <c r="AC18" s="194">
        <v>-109</v>
      </c>
      <c r="AD18" s="194">
        <v>-412</v>
      </c>
      <c r="AF18" s="42">
        <f t="shared" si="7"/>
        <v>-1.0881678138315307E-3</v>
      </c>
      <c r="AG18" s="42">
        <f>AB18/$AB$20</f>
        <v>-3.6693400429836979E-4</v>
      </c>
      <c r="AH18" s="42">
        <f>AC18/$AC$20</f>
        <v>9.0336482678601022E-3</v>
      </c>
      <c r="AI18" s="42">
        <f>AD18/$AD$20</f>
        <v>2.0608243297318928E-2</v>
      </c>
    </row>
    <row r="19" spans="2:35" ht="17" thickBot="1">
      <c r="B19" s="163" t="s">
        <v>274</v>
      </c>
      <c r="C19" s="194">
        <v>370</v>
      </c>
      <c r="D19" s="194">
        <v>440</v>
      </c>
      <c r="E19" s="194">
        <v>511</v>
      </c>
      <c r="F19" s="194">
        <v>581</v>
      </c>
      <c r="H19" s="42">
        <f t="shared" si="4"/>
        <v>1.5378285030278596E-3</v>
      </c>
      <c r="I19" s="42">
        <f>D19/$D$21</f>
        <v>1.6141043371717223E-3</v>
      </c>
      <c r="J19" s="42">
        <f t="shared" si="6"/>
        <v>2.1226924546798929E-3</v>
      </c>
      <c r="K19" s="42">
        <f>F19/$F$21</f>
        <v>2.4826725692456263E-3</v>
      </c>
      <c r="N19" s="199" t="s">
        <v>285</v>
      </c>
      <c r="O19" s="176">
        <f>SUM(O16:O18)</f>
        <v>-49019</v>
      </c>
      <c r="P19" s="176">
        <f>SUM(P16:P18)</f>
        <v>-38679</v>
      </c>
      <c r="Q19" s="176">
        <f>SUM(Q16:Q18)</f>
        <v>-14466</v>
      </c>
      <c r="R19" s="176">
        <f>SUM(R16:R18)</f>
        <v>-31083</v>
      </c>
      <c r="T19" s="175">
        <f>O19/$O$7</f>
        <v>-0.15628517046016113</v>
      </c>
      <c r="U19" s="175">
        <f>P19/$P$7</f>
        <v>-0.12138815399244914</v>
      </c>
      <c r="V19" s="175">
        <f>Q19/$Q$7</f>
        <v>-4.8136242937289117E-2</v>
      </c>
      <c r="W19" s="175">
        <f>R19/$R$7</f>
        <v>-0.13193851952781774</v>
      </c>
      <c r="Z19" s="196" t="s">
        <v>287</v>
      </c>
      <c r="AA19" s="10">
        <v>-7007</v>
      </c>
      <c r="AB19" s="194" t="s">
        <v>49</v>
      </c>
      <c r="AC19" s="194" t="s">
        <v>49</v>
      </c>
      <c r="AD19" s="194" t="s">
        <v>49</v>
      </c>
      <c r="AF19" s="42">
        <f t="shared" si="7"/>
        <v>9.1864962307440179E-2</v>
      </c>
      <c r="AG19" s="42"/>
      <c r="AH19" s="42"/>
      <c r="AI19" s="42"/>
    </row>
    <row r="20" spans="2:35" ht="17" thickBot="1">
      <c r="B20" s="163" t="s">
        <v>289</v>
      </c>
      <c r="C20" s="194">
        <v>4578</v>
      </c>
      <c r="D20" s="194">
        <v>3179</v>
      </c>
      <c r="E20" s="194">
        <v>1542</v>
      </c>
      <c r="F20" s="194">
        <v>2095</v>
      </c>
      <c r="H20" s="42">
        <f t="shared" si="4"/>
        <v>1.9027510505031191E-2</v>
      </c>
      <c r="I20" s="42">
        <f>D20/$D$21</f>
        <v>1.1661903836065694E-2</v>
      </c>
      <c r="J20" s="42">
        <f t="shared" si="6"/>
        <v>6.4054633368226905E-3</v>
      </c>
      <c r="K20" s="42">
        <f>F20/$F$21</f>
        <v>8.9521497978822511E-3</v>
      </c>
      <c r="N20" s="200"/>
      <c r="O20" s="185"/>
      <c r="P20" s="185"/>
      <c r="Q20" s="185"/>
      <c r="R20" s="185"/>
      <c r="T20" s="190"/>
      <c r="U20" s="190"/>
      <c r="V20" s="190"/>
      <c r="W20" s="190"/>
      <c r="Z20" s="199" t="s">
        <v>291</v>
      </c>
      <c r="AA20" s="206">
        <f>SUM(AA8:AA19)</f>
        <v>-76275</v>
      </c>
      <c r="AB20" s="206">
        <f>SUM(AB8:AB19)</f>
        <v>-38154</v>
      </c>
      <c r="AC20" s="206">
        <f>SUM(AC8:AC19)</f>
        <v>-12066</v>
      </c>
      <c r="AD20" s="206">
        <f>SUM(AD8:AD19)</f>
        <v>-19992</v>
      </c>
      <c r="AF20" s="175">
        <f t="shared" si="7"/>
        <v>1</v>
      </c>
      <c r="AG20" s="175">
        <f>AB20/$AB$20</f>
        <v>1</v>
      </c>
      <c r="AH20" s="175">
        <f>AC20/$AC$20</f>
        <v>1</v>
      </c>
      <c r="AI20" s="175">
        <f>AD20/$AD$20</f>
        <v>1</v>
      </c>
    </row>
    <row r="21" spans="2:35" ht="17" thickBot="1">
      <c r="B21" s="167" t="s">
        <v>200</v>
      </c>
      <c r="C21" s="206">
        <f>SUM(C15:C20)</f>
        <v>240599</v>
      </c>
      <c r="D21" s="206">
        <f>SUM(D15:D20)</f>
        <v>272597</v>
      </c>
      <c r="E21" s="206">
        <f>SUM(E15:E20)</f>
        <v>240732</v>
      </c>
      <c r="F21" s="206">
        <f>SUM(F15:F20)</f>
        <v>234022</v>
      </c>
      <c r="H21" s="175">
        <f t="shared" si="4"/>
        <v>1</v>
      </c>
      <c r="I21" s="175">
        <f>D21/$D$21</f>
        <v>1</v>
      </c>
      <c r="J21" s="175">
        <f t="shared" si="6"/>
        <v>1</v>
      </c>
      <c r="K21" s="175">
        <f>F21/$F$21</f>
        <v>1</v>
      </c>
      <c r="N21" s="200" t="s">
        <v>292</v>
      </c>
      <c r="O21" s="178">
        <v>-0.53</v>
      </c>
      <c r="P21" s="178">
        <v>-0.43</v>
      </c>
      <c r="Q21" s="178">
        <v>-0.17</v>
      </c>
      <c r="R21" s="178">
        <v>-0.36</v>
      </c>
      <c r="T21" s="190">
        <f>O21/$O$7</f>
        <v>-1.6897762162403437E-6</v>
      </c>
      <c r="U21" s="190">
        <f>P21/$P$7</f>
        <v>-1.3494895477327007E-6</v>
      </c>
      <c r="V21" s="190">
        <f>Q21/$Q$7</f>
        <v>-5.6568237932663832E-7</v>
      </c>
      <c r="W21" s="190">
        <f>R21/$R$7</f>
        <v>-1.5280979001388023E-6</v>
      </c>
      <c r="Z21" s="200" t="s">
        <v>294</v>
      </c>
      <c r="AA21" s="194"/>
      <c r="AB21" s="194"/>
      <c r="AC21" s="194"/>
      <c r="AD21" s="194"/>
      <c r="AF21" s="42"/>
      <c r="AG21" s="42"/>
      <c r="AH21" s="42"/>
      <c r="AI21" s="42"/>
    </row>
    <row r="22" spans="2:35" ht="16">
      <c r="B22" s="1" t="s">
        <v>295</v>
      </c>
      <c r="C22" s="194"/>
      <c r="D22" s="194"/>
      <c r="E22" s="194"/>
      <c r="F22" s="194"/>
      <c r="H22" s="42"/>
      <c r="I22" s="42"/>
      <c r="J22" s="42"/>
      <c r="K22" s="42"/>
      <c r="N22" s="200" t="s">
        <v>296</v>
      </c>
      <c r="O22" s="178">
        <v>-0.53</v>
      </c>
      <c r="P22" s="178">
        <v>-0.43</v>
      </c>
      <c r="Q22" s="178">
        <v>-0.17</v>
      </c>
      <c r="R22" s="178">
        <v>-0.36</v>
      </c>
      <c r="T22" s="190">
        <f>O22/$O$7</f>
        <v>-1.6897762162403437E-6</v>
      </c>
      <c r="U22" s="190">
        <f>P22/$P$7</f>
        <v>-1.3494895477327007E-6</v>
      </c>
      <c r="V22" s="190">
        <f>Q22/$Q$7</f>
        <v>-5.6568237932663832E-7</v>
      </c>
      <c r="W22" s="190">
        <f>R22/$R$7</f>
        <v>-1.5280979001388023E-6</v>
      </c>
      <c r="Z22" s="196" t="s">
        <v>298</v>
      </c>
      <c r="AA22" s="194">
        <v>-12782</v>
      </c>
      <c r="AB22" s="194">
        <v>-65267</v>
      </c>
      <c r="AC22" s="194">
        <v>-22462</v>
      </c>
      <c r="AD22" s="194">
        <v>-74433</v>
      </c>
      <c r="AF22" s="42">
        <f>AA22/$AA$26</f>
        <v>-0.36558647713296916</v>
      </c>
      <c r="AG22" s="42">
        <f>AB22/$AB$20</f>
        <v>1.7106201184672643</v>
      </c>
      <c r="AH22" s="42">
        <f>AC22/$AC$20</f>
        <v>1.861594563235538</v>
      </c>
      <c r="AI22" s="42">
        <f>AD22/$AD$20</f>
        <v>3.7231392557022809</v>
      </c>
    </row>
    <row r="23" spans="2:35" ht="16">
      <c r="B23" s="171" t="s">
        <v>299</v>
      </c>
      <c r="C23" s="194"/>
      <c r="D23" s="194"/>
      <c r="E23" s="194"/>
      <c r="F23" s="194"/>
      <c r="H23" s="42"/>
      <c r="I23" s="42"/>
      <c r="J23" s="42"/>
      <c r="K23" s="42"/>
      <c r="N23" s="200" t="s">
        <v>300</v>
      </c>
      <c r="O23" s="185">
        <v>92202</v>
      </c>
      <c r="P23" s="185">
        <v>71126</v>
      </c>
      <c r="Q23" s="185">
        <v>86192</v>
      </c>
      <c r="R23" s="185">
        <v>86192</v>
      </c>
      <c r="T23" s="190">
        <f>O23/$O$7</f>
        <v>0.29396367299960785</v>
      </c>
      <c r="U23" s="190">
        <f>P23/$P$7</f>
        <v>0.22321812458613038</v>
      </c>
      <c r="V23" s="190">
        <f>Q23/$Q$7</f>
        <v>0.28680762140542121</v>
      </c>
      <c r="W23" s="190">
        <f>R23/$R$7</f>
        <v>0.36586059502434343</v>
      </c>
      <c r="Z23" s="196" t="s">
        <v>302</v>
      </c>
      <c r="AA23" s="194" t="s">
        <v>49</v>
      </c>
      <c r="AB23" s="194">
        <v>27394</v>
      </c>
      <c r="AC23" s="10">
        <v>5830</v>
      </c>
      <c r="AD23" s="10">
        <v>4839</v>
      </c>
      <c r="AF23" s="42"/>
      <c r="AG23" s="42">
        <f>AB23/$AB$20</f>
        <v>-0.71798500812496724</v>
      </c>
      <c r="AH23" s="42">
        <f>AC23/$AC$20</f>
        <v>-0.48317586606994861</v>
      </c>
      <c r="AI23" s="42">
        <f>AD23/$AD$20</f>
        <v>-0.24204681872749101</v>
      </c>
    </row>
    <row r="24" spans="2:35" ht="16">
      <c r="B24" s="163" t="s">
        <v>304</v>
      </c>
      <c r="C24" s="194">
        <v>24755</v>
      </c>
      <c r="D24" s="194">
        <v>28743</v>
      </c>
      <c r="E24" s="194">
        <v>31132</v>
      </c>
      <c r="F24" s="194">
        <v>20775</v>
      </c>
      <c r="H24" s="42">
        <f>ABS(C24)/$C$42</f>
        <v>0.10288903943906666</v>
      </c>
      <c r="I24" s="42">
        <f>ABS(D24)/$D$42</f>
        <v>0.10544136582574276</v>
      </c>
      <c r="J24" s="42">
        <f>ABS(E24)/$E$42</f>
        <v>0.12932223385341376</v>
      </c>
      <c r="K24" s="42">
        <f>ABS(F24)/$F$42</f>
        <v>8.8773705036278641E-2</v>
      </c>
      <c r="N24" s="200" t="s">
        <v>305</v>
      </c>
      <c r="O24" s="185">
        <v>92202</v>
      </c>
      <c r="P24" s="185">
        <v>71126</v>
      </c>
      <c r="Q24" s="185">
        <v>87136</v>
      </c>
      <c r="R24" s="185">
        <v>87136</v>
      </c>
      <c r="T24" s="190">
        <f>O24/$O$7</f>
        <v>0.29396367299960785</v>
      </c>
      <c r="U24" s="190">
        <f>P24/$P$7</f>
        <v>0.22321812458613038</v>
      </c>
      <c r="V24" s="190">
        <f>Q24/$Q$7</f>
        <v>0.28994882238238801</v>
      </c>
      <c r="W24" s="190">
        <f>R24/$R$7</f>
        <v>0.36986760729581852</v>
      </c>
      <c r="Z24" s="196" t="s">
        <v>306</v>
      </c>
      <c r="AA24" s="194">
        <v>49362</v>
      </c>
      <c r="AB24" s="194">
        <v>29470</v>
      </c>
      <c r="AC24" s="10">
        <v>53528</v>
      </c>
      <c r="AD24" s="10">
        <v>81262</v>
      </c>
      <c r="AF24" s="42">
        <f>AA24/$AA$26</f>
        <v>1.4118353688184653</v>
      </c>
      <c r="AG24" s="42">
        <f>AB24/$AB$20</f>
        <v>-0.7723960790480684</v>
      </c>
      <c r="AH24" s="42">
        <f>AC24/$AC$20</f>
        <v>-4.4362671970827119</v>
      </c>
      <c r="AI24" s="42">
        <f>AD24/$AD$20</f>
        <v>-4.0647258903561427</v>
      </c>
    </row>
    <row r="25" spans="2:35" ht="17" thickBot="1">
      <c r="B25" s="163" t="s">
        <v>307</v>
      </c>
      <c r="C25" s="194">
        <v>38010</v>
      </c>
      <c r="D25" s="194">
        <v>19003</v>
      </c>
      <c r="E25" s="194">
        <v>22222</v>
      </c>
      <c r="F25" s="194">
        <v>17090</v>
      </c>
      <c r="H25" s="42">
        <f>ABS(C25)/$C$42</f>
        <v>0.15798070648672688</v>
      </c>
      <c r="I25" s="42">
        <f>ABS(D25)/$D$42</f>
        <v>6.9710965271077813E-2</v>
      </c>
      <c r="J25" s="42">
        <f>ABS(E25)/$E$42</f>
        <v>9.2310120798232059E-2</v>
      </c>
      <c r="K25" s="42">
        <f>ABS(F25)/$F$42</f>
        <v>7.3027322217569288E-2</v>
      </c>
      <c r="N25" s="200"/>
      <c r="O25" s="178"/>
      <c r="P25" s="178"/>
      <c r="Q25" s="178"/>
      <c r="R25" s="178"/>
      <c r="T25" s="190"/>
      <c r="U25" s="190"/>
      <c r="V25" s="190"/>
      <c r="W25" s="190"/>
      <c r="Z25" s="196" t="s">
        <v>309</v>
      </c>
      <c r="AA25" s="194">
        <v>-1617</v>
      </c>
      <c r="AB25" s="194">
        <v>-220</v>
      </c>
      <c r="AC25" s="194">
        <v>-200</v>
      </c>
      <c r="AD25" s="194">
        <v>-661</v>
      </c>
      <c r="AF25" s="42">
        <f>AA25/$AA$26</f>
        <v>-4.6248891685496098E-2</v>
      </c>
      <c r="AG25" s="42">
        <f>AB25/$AB$20</f>
        <v>5.7661057818315245E-3</v>
      </c>
      <c r="AH25" s="42">
        <f>AC25/$AC$20</f>
        <v>1.6575501408917621E-2</v>
      </c>
      <c r="AI25" s="42">
        <f>AD25/$AD$20</f>
        <v>3.3063225290116044E-2</v>
      </c>
    </row>
    <row r="26" spans="2:35" ht="17" thickBot="1">
      <c r="B26" s="163" t="s">
        <v>283</v>
      </c>
      <c r="C26" s="194">
        <v>815</v>
      </c>
      <c r="D26" s="194">
        <v>731</v>
      </c>
      <c r="E26" s="194">
        <v>716</v>
      </c>
      <c r="F26" s="194">
        <v>825</v>
      </c>
      <c r="H26" s="42">
        <f>ABS(C26)/$C$42</f>
        <v>3.3873789999127176E-3</v>
      </c>
      <c r="I26" s="42">
        <f>ABS(D26)/$D$42</f>
        <v>2.6816142510739296E-3</v>
      </c>
      <c r="J26" s="42">
        <f>ABS(E26)/$E$42</f>
        <v>2.9742618347373844E-3</v>
      </c>
      <c r="K26" s="42">
        <f>ABS(F26)/$F$42</f>
        <v>3.525309586278213E-3</v>
      </c>
      <c r="N26" s="199" t="s">
        <v>311</v>
      </c>
      <c r="O26" s="176">
        <f>363431</f>
        <v>363431</v>
      </c>
      <c r="P26" s="176">
        <f>355465</f>
        <v>355465</v>
      </c>
      <c r="Q26" s="176">
        <f>314062</f>
        <v>314062</v>
      </c>
      <c r="R26" s="176">
        <f>267044</f>
        <v>267044</v>
      </c>
      <c r="T26" s="175">
        <f>O26/$O$7</f>
        <v>1.1587114340461213</v>
      </c>
      <c r="U26" s="175">
        <f>P26/$P$7</f>
        <v>1.1155727955460568</v>
      </c>
      <c r="V26" s="175">
        <f>Q26/$Q$7</f>
        <v>1.0450549377416629</v>
      </c>
      <c r="W26" s="175">
        <f>R26/$R$7</f>
        <v>1.1335260434574064</v>
      </c>
      <c r="Z26" s="199" t="s">
        <v>313</v>
      </c>
      <c r="AA26" s="210">
        <f>SUM(AA21:AA25)</f>
        <v>34963</v>
      </c>
      <c r="AB26" s="210">
        <f>SUM(AB21:AB25)</f>
        <v>-8623</v>
      </c>
      <c r="AC26" s="210">
        <f>SUM(AC21:AC25)</f>
        <v>36696</v>
      </c>
      <c r="AD26" s="210">
        <f>SUM(AD21:AD25)</f>
        <v>11007</v>
      </c>
      <c r="AF26" s="175">
        <f>AA26/$AA$26</f>
        <v>1</v>
      </c>
      <c r="AG26" s="175">
        <f>AB26/$AB$20</f>
        <v>0.22600513707606018</v>
      </c>
      <c r="AH26" s="175">
        <f>AC26/$AC$20</f>
        <v>-3.0412729985082048</v>
      </c>
      <c r="AI26" s="175">
        <f>AD26/$AD$20</f>
        <v>-0.55057022809123646</v>
      </c>
    </row>
    <row r="27" spans="2:35" ht="17" thickBot="1">
      <c r="B27" s="168" t="s">
        <v>315</v>
      </c>
      <c r="C27" s="205">
        <f>SUM(C24:C26)</f>
        <v>63580</v>
      </c>
      <c r="D27" s="205">
        <f>SUM(D24:D26)</f>
        <v>48477</v>
      </c>
      <c r="E27" s="205">
        <f>SUM(E24:E26)</f>
        <v>54070</v>
      </c>
      <c r="F27" s="205">
        <f>SUM(F24:F26)</f>
        <v>38690</v>
      </c>
      <c r="H27" s="174">
        <f>ABS(C27)/$C$42</f>
        <v>0.26425712492570624</v>
      </c>
      <c r="I27" s="174">
        <f>ABS(D27)/$D$42</f>
        <v>0.17783394534789451</v>
      </c>
      <c r="J27" s="174">
        <f>ABS(E27)/$E$42</f>
        <v>0.22460661648638319</v>
      </c>
      <c r="K27" s="174">
        <f>ABS(F27)/$F$42</f>
        <v>0.16532633684012615</v>
      </c>
      <c r="N27" s="200"/>
      <c r="O27" s="185"/>
      <c r="P27" s="185"/>
      <c r="Q27" s="185"/>
      <c r="R27" s="185"/>
      <c r="T27" s="188"/>
      <c r="U27" s="188"/>
      <c r="V27" s="188"/>
      <c r="W27" s="188"/>
      <c r="Z27" s="200" t="s">
        <v>317</v>
      </c>
      <c r="AA27" s="194"/>
      <c r="AB27" s="194"/>
      <c r="AC27" s="194"/>
      <c r="AD27" s="194"/>
      <c r="AF27" s="42"/>
      <c r="AG27" s="42"/>
      <c r="AH27" s="42"/>
      <c r="AI27" s="42"/>
    </row>
    <row r="28" spans="2:35" ht="16">
      <c r="B28" s="171" t="s">
        <v>319</v>
      </c>
      <c r="C28" s="194"/>
      <c r="D28" s="194"/>
      <c r="E28" s="194"/>
      <c r="F28" s="194"/>
      <c r="H28" s="42"/>
      <c r="I28" s="42"/>
      <c r="J28" s="42"/>
      <c r="K28" s="42"/>
      <c r="N28" s="200" t="s">
        <v>320</v>
      </c>
      <c r="O28" s="185">
        <f>O19</f>
        <v>-49019</v>
      </c>
      <c r="P28" s="185">
        <f>P19</f>
        <v>-38679</v>
      </c>
      <c r="Q28" s="185">
        <f>Q19</f>
        <v>-14466</v>
      </c>
      <c r="R28" s="185">
        <f>R19</f>
        <v>-31083</v>
      </c>
      <c r="T28" s="190">
        <f>O28/$O$7</f>
        <v>-0.15628517046016113</v>
      </c>
      <c r="U28" s="190">
        <f>P28/$P$7</f>
        <v>-0.12138815399244914</v>
      </c>
      <c r="V28" s="190">
        <f>Q28/$Q$7</f>
        <v>-4.8136242937289117E-2</v>
      </c>
      <c r="W28" s="190">
        <f>R28/$R$7</f>
        <v>-0.13193851952781774</v>
      </c>
      <c r="Z28" t="s">
        <v>322</v>
      </c>
      <c r="AA28" s="194" t="s">
        <v>49</v>
      </c>
      <c r="AB28" s="194">
        <v>96517</v>
      </c>
      <c r="AC28" s="194" t="s">
        <v>49</v>
      </c>
      <c r="AD28" s="194" t="s">
        <v>49</v>
      </c>
      <c r="AF28" s="42"/>
      <c r="AG28" s="42">
        <f t="shared" ref="AG28:AG33" si="8">AB28/$AB$20</f>
        <v>-2.5296692352046968</v>
      </c>
      <c r="AH28" s="42"/>
      <c r="AI28" s="42"/>
    </row>
    <row r="29" spans="2:35" ht="16">
      <c r="B29" s="163" t="s">
        <v>324</v>
      </c>
      <c r="C29" s="195" t="s">
        <v>49</v>
      </c>
      <c r="D29" s="194">
        <v>37527</v>
      </c>
      <c r="E29" s="194">
        <v>38426</v>
      </c>
      <c r="F29" s="194">
        <v>39212</v>
      </c>
      <c r="H29" s="42"/>
      <c r="I29" s="42">
        <f>ABS(D29)/$D$42</f>
        <v>0.13766475786600732</v>
      </c>
      <c r="J29" s="42">
        <f>ABS(E29)/$E$42</f>
        <v>0.15962148779555688</v>
      </c>
      <c r="K29" s="42">
        <f>ABS(F29)/$F$42</f>
        <v>0.16755689636017126</v>
      </c>
      <c r="N29" s="200" t="s">
        <v>325</v>
      </c>
      <c r="O29" s="185">
        <f>O28</f>
        <v>-49019</v>
      </c>
      <c r="P29" s="185">
        <f>P28</f>
        <v>-38679</v>
      </c>
      <c r="Q29" s="185">
        <f>Q28</f>
        <v>-14466</v>
      </c>
      <c r="R29" s="185">
        <f>R28</f>
        <v>-31083</v>
      </c>
      <c r="T29" s="190">
        <f>O29/$O$7</f>
        <v>-0.15628517046016113</v>
      </c>
      <c r="U29" s="190">
        <f>P29/$P$7</f>
        <v>-0.12138815399244914</v>
      </c>
      <c r="V29" s="190">
        <f>Q29/$Q$7</f>
        <v>-4.8136242937289117E-2</v>
      </c>
      <c r="W29" s="190">
        <f>R29/$R$7</f>
        <v>-0.13193851952781774</v>
      </c>
      <c r="Z29" t="s">
        <v>327</v>
      </c>
      <c r="AA29" s="194" t="s">
        <v>49</v>
      </c>
      <c r="AB29" s="194">
        <v>-35000</v>
      </c>
      <c r="AC29" s="194" t="s">
        <v>49</v>
      </c>
      <c r="AD29" s="194" t="s">
        <v>49</v>
      </c>
      <c r="AF29" s="42"/>
      <c r="AG29" s="42">
        <f t="shared" si="8"/>
        <v>0.91733501074592438</v>
      </c>
      <c r="AH29" s="42"/>
      <c r="AI29" s="42"/>
    </row>
    <row r="30" spans="2:35" ht="16">
      <c r="B30" s="163" t="s">
        <v>328</v>
      </c>
      <c r="C30" s="194">
        <v>29842</v>
      </c>
      <c r="D30" s="195" t="s">
        <v>49</v>
      </c>
      <c r="E30" s="195" t="s">
        <v>49</v>
      </c>
      <c r="F30" s="195" t="s">
        <v>49</v>
      </c>
      <c r="H30" s="42">
        <f>ABS(C30)/$C$42</f>
        <v>0.12403210320907401</v>
      </c>
      <c r="I30" s="42"/>
      <c r="J30" s="42"/>
      <c r="K30" s="42"/>
      <c r="N30" s="200" t="s">
        <v>329</v>
      </c>
      <c r="O30" s="122" t="s">
        <v>49</v>
      </c>
      <c r="P30" s="1">
        <v>494</v>
      </c>
      <c r="Q30" s="122" t="s">
        <v>49</v>
      </c>
      <c r="R30" s="122" t="s">
        <v>49</v>
      </c>
      <c r="T30" s="190"/>
      <c r="U30" s="190">
        <f>P30/$P$7</f>
        <v>1.5503438059998934E-3</v>
      </c>
      <c r="V30" s="190"/>
      <c r="W30" s="190"/>
      <c r="Z30" s="196" t="s">
        <v>331</v>
      </c>
      <c r="AA30" s="194">
        <v>122</v>
      </c>
      <c r="AB30" s="10">
        <v>5730</v>
      </c>
      <c r="AC30" s="194">
        <v>41</v>
      </c>
      <c r="AD30" s="194">
        <v>252</v>
      </c>
      <c r="AF30" s="42">
        <f>-(AA30/$AA$36)</f>
        <v>-3.2105263157894739</v>
      </c>
      <c r="AG30" s="42">
        <f t="shared" si="8"/>
        <v>-0.15018084604497561</v>
      </c>
      <c r="AH30" s="42">
        <f>AC30/$AC$20</f>
        <v>-3.3979777888281121E-3</v>
      </c>
      <c r="AI30" s="42">
        <f>AD30/$AD$20</f>
        <v>-1.2605042016806723E-2</v>
      </c>
    </row>
    <row r="31" spans="2:35" ht="17" thickBot="1">
      <c r="B31" s="163" t="s">
        <v>333</v>
      </c>
      <c r="C31" s="194">
        <v>817</v>
      </c>
      <c r="D31" s="194">
        <v>7487</v>
      </c>
      <c r="E31" s="194">
        <v>8657</v>
      </c>
      <c r="F31" s="194">
        <v>9993</v>
      </c>
      <c r="H31" s="42">
        <f>ABS(C31)/$C$42</f>
        <v>3.3956915864155712E-3</v>
      </c>
      <c r="I31" s="42">
        <f>ABS(D31)/$D$42</f>
        <v>2.7465452664556102E-2</v>
      </c>
      <c r="J31" s="42">
        <f>ABS(E31)/$E$42</f>
        <v>3.5961151820281471E-2</v>
      </c>
      <c r="K31" s="42">
        <f>ABS(F31)/$F$42</f>
        <v>4.2701113570519013E-2</v>
      </c>
      <c r="N31" s="200" t="s">
        <v>334</v>
      </c>
      <c r="O31" s="122" t="s">
        <v>49</v>
      </c>
      <c r="P31" s="122" t="s">
        <v>49</v>
      </c>
      <c r="Q31" s="122" t="s">
        <v>49</v>
      </c>
      <c r="R31" s="122" t="s">
        <v>49</v>
      </c>
      <c r="T31" s="190"/>
      <c r="U31" s="190"/>
      <c r="V31" s="190"/>
      <c r="W31" s="190"/>
      <c r="Z31" s="196" t="s">
        <v>336</v>
      </c>
      <c r="AA31" s="194" t="s">
        <v>49</v>
      </c>
      <c r="AB31" s="194">
        <v>-5477</v>
      </c>
      <c r="AC31" t="s">
        <v>49</v>
      </c>
      <c r="AD31" t="s">
        <v>49</v>
      </c>
      <c r="AF31" s="42"/>
      <c r="AG31" s="42">
        <f t="shared" si="8"/>
        <v>0.14354982439586939</v>
      </c>
      <c r="AH31" s="42"/>
      <c r="AI31" s="42"/>
    </row>
    <row r="32" spans="2:35" ht="17" thickBot="1">
      <c r="B32" s="167" t="s">
        <v>337</v>
      </c>
      <c r="C32" s="206">
        <f>SUM(C27:C31)</f>
        <v>94239</v>
      </c>
      <c r="D32" s="206">
        <f>SUM(D27:D31)</f>
        <v>93491</v>
      </c>
      <c r="E32" s="206">
        <f>SUM(E27:E31)</f>
        <v>101153</v>
      </c>
      <c r="F32" s="206">
        <f>SUM(F27:F31)</f>
        <v>87895</v>
      </c>
      <c r="H32" s="175">
        <f>ABS(C32)/$C$42</f>
        <v>0.39168491972119585</v>
      </c>
      <c r="I32" s="175">
        <f>ABS(D32)/$D$42</f>
        <v>0.34296415587845797</v>
      </c>
      <c r="J32" s="175">
        <f>ABS(E32)/$E$42</f>
        <v>0.42018925610222158</v>
      </c>
      <c r="K32" s="175">
        <f>ABS(F32)/$F$42</f>
        <v>0.37558434677081642</v>
      </c>
      <c r="N32" s="200" t="s">
        <v>338</v>
      </c>
      <c r="O32" s="1">
        <v>871</v>
      </c>
      <c r="P32" s="185">
        <v>-1776</v>
      </c>
      <c r="Q32" s="1">
        <v>-837</v>
      </c>
      <c r="R32" s="1">
        <v>429</v>
      </c>
      <c r="T32" s="190">
        <f>O32/$O$7</f>
        <v>2.776971857255357E-3</v>
      </c>
      <c r="U32" s="190">
        <f>P32/$P$7</f>
        <v>-5.5737056669145964E-3</v>
      </c>
      <c r="V32" s="190">
        <f>Q32/$Q$7</f>
        <v>-2.7851538323317429E-3</v>
      </c>
      <c r="W32" s="190">
        <f>R32/$R$7</f>
        <v>1.8209833309987392E-3</v>
      </c>
      <c r="Z32" s="196" t="s">
        <v>339</v>
      </c>
      <c r="AA32" s="194">
        <v>-37</v>
      </c>
      <c r="AB32" s="194">
        <v>-567</v>
      </c>
      <c r="AC32" s="194" t="s">
        <v>49</v>
      </c>
      <c r="AD32" s="194" t="s">
        <v>49</v>
      </c>
      <c r="AF32" s="42">
        <f>-(AA32/$AA$36)</f>
        <v>0.97368421052631582</v>
      </c>
      <c r="AG32" s="42">
        <f t="shared" si="8"/>
        <v>1.4860827174083975E-2</v>
      </c>
      <c r="AH32" s="42"/>
      <c r="AI32" s="42"/>
    </row>
    <row r="33" spans="2:35" ht="16">
      <c r="B33" s="163" t="s">
        <v>341</v>
      </c>
      <c r="C33" s="194"/>
      <c r="D33" s="194"/>
      <c r="E33" s="194"/>
      <c r="F33" s="194"/>
      <c r="H33" s="42"/>
      <c r="I33" s="42"/>
      <c r="J33" s="42"/>
      <c r="K33" s="42"/>
      <c r="N33" s="200"/>
      <c r="O33" s="1"/>
      <c r="P33" s="1"/>
      <c r="Q33" s="1"/>
      <c r="R33" s="1"/>
      <c r="T33" s="190"/>
      <c r="U33" s="190"/>
      <c r="V33" s="190"/>
      <c r="W33" s="190"/>
      <c r="Z33" s="196" t="s">
        <v>342</v>
      </c>
      <c r="AA33" s="194">
        <v>256</v>
      </c>
      <c r="AB33">
        <v>291</v>
      </c>
      <c r="AC33" s="194" t="s">
        <v>49</v>
      </c>
      <c r="AD33" s="194" t="s">
        <v>49</v>
      </c>
      <c r="AF33" s="42">
        <f>-(AA33/$AA$36)</f>
        <v>-6.7368421052631575</v>
      </c>
      <c r="AG33" s="42">
        <f t="shared" si="8"/>
        <v>-7.6269853750589719E-3</v>
      </c>
      <c r="AH33" s="42"/>
      <c r="AI33" s="42"/>
    </row>
    <row r="34" spans="2:35" ht="16">
      <c r="B34" s="163" t="s">
        <v>344</v>
      </c>
      <c r="C34" s="194"/>
      <c r="D34" s="194"/>
      <c r="E34" s="194">
        <v>376404</v>
      </c>
      <c r="F34" s="194">
        <v>376404</v>
      </c>
      <c r="H34" s="42"/>
      <c r="I34" s="42"/>
      <c r="J34" s="42">
        <f>ABS(E34)/$E$42</f>
        <v>1.5635810777129755</v>
      </c>
      <c r="K34" s="42">
        <f>ABS(F34)/$F$42</f>
        <v>1.6084128842587448</v>
      </c>
      <c r="N34" s="200" t="s">
        <v>345</v>
      </c>
      <c r="O34" s="185">
        <v>-40431</v>
      </c>
      <c r="P34" s="185">
        <v>-36826</v>
      </c>
      <c r="Q34" s="185">
        <v>-13540</v>
      </c>
      <c r="R34" s="185">
        <v>-31457</v>
      </c>
      <c r="T34" s="190">
        <f>O34/$O$7</f>
        <v>-0.12890441924304402</v>
      </c>
      <c r="U34" s="190">
        <f>P34/$P$7</f>
        <v>-0.11557279554605682</v>
      </c>
      <c r="V34" s="190">
        <f>Q34/$Q$7</f>
        <v>-4.5054937741662839E-2</v>
      </c>
      <c r="W34" s="190">
        <f>R34/$R$7</f>
        <v>-0.1335260434574064</v>
      </c>
      <c r="Z34" s="196" t="s">
        <v>347</v>
      </c>
      <c r="AA34" s="194" t="s">
        <v>49</v>
      </c>
      <c r="AB34" t="s">
        <v>49</v>
      </c>
      <c r="AC34" s="194" t="s">
        <v>49</v>
      </c>
      <c r="AD34" s="194">
        <v>-285</v>
      </c>
      <c r="AF34" s="42"/>
      <c r="AG34" s="42"/>
      <c r="AH34" s="42"/>
      <c r="AI34" s="42">
        <f>AD34/$AD$20</f>
        <v>1.4255702280912365E-2</v>
      </c>
    </row>
    <row r="35" spans="2:35" ht="17" thickBot="1">
      <c r="B35" s="171" t="s">
        <v>349</v>
      </c>
      <c r="C35" s="194"/>
      <c r="D35" s="194"/>
      <c r="E35" s="194"/>
      <c r="F35" s="194"/>
      <c r="H35" s="42"/>
      <c r="I35" s="42"/>
      <c r="J35" s="42"/>
      <c r="K35" s="42"/>
      <c r="N35" s="200" t="s">
        <v>350</v>
      </c>
      <c r="O35" s="185">
        <v>-37678</v>
      </c>
      <c r="P35" s="185">
        <v>-32680</v>
      </c>
      <c r="Q35" s="185">
        <v>-8686</v>
      </c>
      <c r="R35" s="185">
        <v>-23785</v>
      </c>
      <c r="T35" s="190">
        <f>O35/$O$7</f>
        <v>-0.12012714768962955</v>
      </c>
      <c r="U35" s="190">
        <f>P35/$P$7</f>
        <v>-0.10256120562768525</v>
      </c>
      <c r="V35" s="190">
        <f>Q35/$Q$7</f>
        <v>-2.8903042040183412E-2</v>
      </c>
      <c r="W35" s="190">
        <f>R35/$R$7</f>
        <v>-0.10096057931889281</v>
      </c>
      <c r="Z35" s="196" t="s">
        <v>352</v>
      </c>
      <c r="AA35" s="194">
        <v>-303</v>
      </c>
      <c r="AB35" s="194">
        <v>-1126</v>
      </c>
      <c r="AC35" s="194">
        <v>-1014</v>
      </c>
      <c r="AD35" s="194">
        <v>-272</v>
      </c>
      <c r="AF35" s="42">
        <f>-(AA35/$AA$36)</f>
        <v>7.9736842105263159</v>
      </c>
      <c r="AG35" s="42">
        <f>AB35/$AB$20</f>
        <v>2.9511977774283167E-2</v>
      </c>
      <c r="AH35" s="42">
        <f>AC35/$AC$20</f>
        <v>8.4037792143212331E-2</v>
      </c>
      <c r="AI35" s="42">
        <f>AD35/$AD$20</f>
        <v>1.3605442176870748E-2</v>
      </c>
    </row>
    <row r="36" spans="2:35" ht="17" thickBot="1">
      <c r="B36" s="163" t="s">
        <v>353</v>
      </c>
      <c r="C36" s="195" t="s">
        <v>49</v>
      </c>
      <c r="D36" s="195" t="s">
        <v>49</v>
      </c>
      <c r="E36" s="195" t="s">
        <v>49</v>
      </c>
      <c r="F36" s="195" t="s">
        <v>49</v>
      </c>
      <c r="H36" s="42"/>
      <c r="I36" s="42"/>
      <c r="J36" s="42"/>
      <c r="K36" s="42"/>
      <c r="N36" s="200" t="s">
        <v>354</v>
      </c>
      <c r="O36" s="122" t="s">
        <v>49</v>
      </c>
      <c r="P36" s="122" t="s">
        <v>49</v>
      </c>
      <c r="Q36" s="122" t="s">
        <v>49</v>
      </c>
      <c r="R36" s="122" t="s">
        <v>49</v>
      </c>
      <c r="S36" s="1"/>
      <c r="T36" s="1"/>
      <c r="U36" s="1"/>
      <c r="V36" s="1"/>
      <c r="W36" s="1"/>
      <c r="Z36" s="199" t="s">
        <v>356</v>
      </c>
      <c r="AA36" s="209">
        <f>SUM(AA27:AA35)</f>
        <v>38</v>
      </c>
      <c r="AB36" s="209">
        <f>SUM(AB27:AB35)</f>
        <v>60368</v>
      </c>
      <c r="AC36" s="209">
        <f>SUM(AC27:AC35)</f>
        <v>-973</v>
      </c>
      <c r="AD36" s="209">
        <f>SUM(AD27:AD35)</f>
        <v>-305</v>
      </c>
      <c r="AF36" s="175">
        <f>-(AA36/$AA$36)</f>
        <v>-1</v>
      </c>
      <c r="AG36" s="175">
        <f>AB36/$AB$20</f>
        <v>-1.5822194265345704</v>
      </c>
      <c r="AH36" s="175">
        <f>AC36/$AC$20</f>
        <v>8.0639814354384221E-2</v>
      </c>
      <c r="AI36" s="175">
        <f>AD36/$AD$20</f>
        <v>1.5256102440976391E-2</v>
      </c>
    </row>
    <row r="37" spans="2:35" ht="16">
      <c r="B37" s="163" t="s">
        <v>357</v>
      </c>
      <c r="C37" s="194">
        <v>9</v>
      </c>
      <c r="D37" s="194">
        <v>9</v>
      </c>
      <c r="E37" s="194">
        <v>3</v>
      </c>
      <c r="F37" s="194">
        <v>2</v>
      </c>
      <c r="H37" s="42">
        <f t="shared" ref="H37:H42" si="9">ABS(C37)/$C$42</f>
        <v>3.7406639262839828E-5</v>
      </c>
      <c r="I37" s="42">
        <f t="shared" ref="I37:I42" si="10">ABS(D37)/$D$42</f>
        <v>3.301577053305796E-5</v>
      </c>
      <c r="J37" s="42">
        <f t="shared" ref="J37:J42" si="11">ABS(E37)/$E$42</f>
        <v>1.2461990927670605E-5</v>
      </c>
      <c r="K37" s="42">
        <f t="shared" ref="K37:K42" si="12">ABS(F37)/$F$42</f>
        <v>8.5462050576441529E-6</v>
      </c>
      <c r="Z37" s="200" t="s">
        <v>359</v>
      </c>
      <c r="AA37" s="216"/>
      <c r="AB37" s="216"/>
      <c r="AC37" s="216"/>
      <c r="AD37" s="216"/>
      <c r="AF37" s="188"/>
      <c r="AG37" s="188"/>
      <c r="AH37" s="188"/>
      <c r="AI37" s="188"/>
    </row>
    <row r="38" spans="2:35" ht="16">
      <c r="B38" s="163" t="s">
        <v>360</v>
      </c>
      <c r="C38" s="194">
        <v>586213</v>
      </c>
      <c r="D38" s="194">
        <v>570794</v>
      </c>
      <c r="E38" s="194">
        <v>116055</v>
      </c>
      <c r="F38" s="194">
        <v>108110</v>
      </c>
      <c r="H38" s="42">
        <f t="shared" si="9"/>
        <v>2.4364731357985696</v>
      </c>
      <c r="I38" s="42">
        <f t="shared" si="10"/>
        <v>2.0939115250718094</v>
      </c>
      <c r="J38" s="42">
        <f t="shared" si="11"/>
        <v>0.48209211903693733</v>
      </c>
      <c r="K38" s="42">
        <f t="shared" si="12"/>
        <v>0.46196511439095472</v>
      </c>
      <c r="Z38" s="196" t="s">
        <v>362</v>
      </c>
      <c r="AA38" s="194">
        <v>-41274</v>
      </c>
      <c r="AB38" s="194">
        <v>13591</v>
      </c>
      <c r="AC38" s="194">
        <v>23657</v>
      </c>
      <c r="AD38" s="194">
        <v>-9290</v>
      </c>
      <c r="AF38" s="42">
        <f>AA38/$AA$40</f>
        <v>-4.3368708626668067</v>
      </c>
      <c r="AG38" s="42">
        <f>AB38/$AB$40</f>
        <v>0.26758677718493434</v>
      </c>
      <c r="AH38" s="42">
        <f>AC38/$AC$40</f>
        <v>0.6359408602150538</v>
      </c>
      <c r="AI38" s="42">
        <f>AD38/$AD$40</f>
        <v>-0.6859632282359891</v>
      </c>
    </row>
    <row r="39" spans="2:35" ht="17" thickBot="1">
      <c r="B39" s="163" t="s">
        <v>364</v>
      </c>
      <c r="C39" s="194">
        <v>-439830</v>
      </c>
      <c r="D39" s="194">
        <v>-391656</v>
      </c>
      <c r="E39" s="194">
        <v>-352977</v>
      </c>
      <c r="F39" s="194">
        <v>-338511</v>
      </c>
      <c r="H39" s="42">
        <f t="shared" si="9"/>
        <v>1.8280624607749825</v>
      </c>
      <c r="I39" s="42">
        <f t="shared" si="10"/>
        <v>1.4367582915439274</v>
      </c>
      <c r="J39" s="42">
        <f t="shared" si="11"/>
        <v>1.4662653905587957</v>
      </c>
      <c r="K39" s="42">
        <f t="shared" si="12"/>
        <v>1.44649221013409</v>
      </c>
      <c r="Z39" s="196" t="s">
        <v>366</v>
      </c>
      <c r="AA39" s="194">
        <v>50791</v>
      </c>
      <c r="AB39" s="194">
        <v>37200</v>
      </c>
      <c r="AC39" s="194">
        <v>13543</v>
      </c>
      <c r="AD39" s="194">
        <v>22833</v>
      </c>
      <c r="AF39" s="42">
        <f>AA39/$AA$40</f>
        <v>5.3368708626668067</v>
      </c>
      <c r="AG39" s="42">
        <f>AB39/$AB$40</f>
        <v>0.73241322281506571</v>
      </c>
      <c r="AH39" s="42">
        <f>AC39/$AC$40</f>
        <v>0.36405913978494625</v>
      </c>
      <c r="AI39" s="42">
        <f>AD39/$AD$40</f>
        <v>1.6859632282359891</v>
      </c>
    </row>
    <row r="40" spans="2:35" ht="17" thickBot="1">
      <c r="B40" s="217" t="s">
        <v>368</v>
      </c>
      <c r="C40" s="218">
        <v>-32</v>
      </c>
      <c r="D40" s="218">
        <v>-41</v>
      </c>
      <c r="E40" s="218">
        <v>94</v>
      </c>
      <c r="F40" s="218">
        <v>122</v>
      </c>
      <c r="H40" s="42">
        <f t="shared" si="9"/>
        <v>1.3300138404565272E-4</v>
      </c>
      <c r="I40" s="42">
        <f t="shared" si="10"/>
        <v>1.5040517687281958E-4</v>
      </c>
      <c r="J40" s="42">
        <f t="shared" si="11"/>
        <v>3.9047571573367897E-4</v>
      </c>
      <c r="K40" s="42">
        <f t="shared" si="12"/>
        <v>5.2131850851629331E-4</v>
      </c>
      <c r="Z40" s="199" t="s">
        <v>370</v>
      </c>
      <c r="AA40" s="206">
        <f>SUM(AA38:AA39)</f>
        <v>9517</v>
      </c>
      <c r="AB40" s="206">
        <f>SUM(AB38:AB39)</f>
        <v>50791</v>
      </c>
      <c r="AC40" s="206">
        <f>SUM(AC38:AC39)</f>
        <v>37200</v>
      </c>
      <c r="AD40" s="206">
        <f>SUM(AD38:AD39)</f>
        <v>13543</v>
      </c>
      <c r="AF40" s="175">
        <f>AA40/$AA$40</f>
        <v>1</v>
      </c>
      <c r="AG40" s="175">
        <f>AB40/$AB$40</f>
        <v>1</v>
      </c>
      <c r="AH40" s="175">
        <f>AC40/$AC$40</f>
        <v>1</v>
      </c>
      <c r="AI40" s="175">
        <f>AD40/$AD$40</f>
        <v>1</v>
      </c>
    </row>
    <row r="41" spans="2:35" ht="17" thickBot="1">
      <c r="B41" s="170" t="s">
        <v>372</v>
      </c>
      <c r="C41" s="207">
        <f>SUM(C33:C40)</f>
        <v>146360</v>
      </c>
      <c r="D41" s="207">
        <f>SUM(D33:D40)</f>
        <v>179106</v>
      </c>
      <c r="E41" s="207">
        <f>SUM(E33:E40)</f>
        <v>139579</v>
      </c>
      <c r="F41" s="207">
        <f>SUM(F33:F40)</f>
        <v>146127</v>
      </c>
      <c r="H41" s="174">
        <f t="shared" si="9"/>
        <v>0.6083150802788041</v>
      </c>
      <c r="I41" s="174">
        <f t="shared" si="10"/>
        <v>0.65703584412154203</v>
      </c>
      <c r="J41" s="174">
        <f t="shared" si="11"/>
        <v>0.57981074389777842</v>
      </c>
      <c r="K41" s="174">
        <f t="shared" si="12"/>
        <v>0.62441565322918358</v>
      </c>
      <c r="Z41" t="s">
        <v>373</v>
      </c>
      <c r="AA41" s="1"/>
      <c r="AB41" s="185"/>
      <c r="AC41" s="185"/>
      <c r="AD41" s="1"/>
    </row>
    <row r="42" spans="2:35" ht="17" thickBot="1">
      <c r="B42" s="172" t="s">
        <v>375</v>
      </c>
      <c r="C42" s="206">
        <f>C32+C41</f>
        <v>240599</v>
      </c>
      <c r="D42" s="206">
        <f>D32+D41</f>
        <v>272597</v>
      </c>
      <c r="E42" s="206">
        <f>E32+E41</f>
        <v>240732</v>
      </c>
      <c r="F42" s="206">
        <f>F32+F41</f>
        <v>234022</v>
      </c>
      <c r="H42" s="175">
        <f t="shared" si="9"/>
        <v>1</v>
      </c>
      <c r="I42" s="175">
        <f t="shared" si="10"/>
        <v>1</v>
      </c>
      <c r="J42" s="175">
        <f t="shared" si="11"/>
        <v>1</v>
      </c>
      <c r="K42" s="175">
        <f t="shared" si="12"/>
        <v>1</v>
      </c>
      <c r="Z42" t="s">
        <v>242</v>
      </c>
      <c r="AA42" s="10">
        <v>9517</v>
      </c>
      <c r="AB42" s="10">
        <v>50791</v>
      </c>
      <c r="AC42" s="10">
        <v>29259</v>
      </c>
      <c r="AD42" s="10">
        <v>13543</v>
      </c>
    </row>
    <row r="43" spans="2:35">
      <c r="Z43" t="s">
        <v>377</v>
      </c>
      <c r="AA43" t="s">
        <v>49</v>
      </c>
      <c r="AB43" s="10" t="s">
        <v>49</v>
      </c>
      <c r="AC43" s="10">
        <v>1752</v>
      </c>
      <c r="AD43" t="s">
        <v>49</v>
      </c>
    </row>
    <row r="44" spans="2:35" ht="17" thickBot="1">
      <c r="B44" s="163" t="s">
        <v>378</v>
      </c>
      <c r="C44" s="166">
        <f>C21-C42</f>
        <v>0</v>
      </c>
      <c r="D44" s="166">
        <f>D21-D42</f>
        <v>0</v>
      </c>
      <c r="E44" s="166">
        <f>E21-E42</f>
        <v>0</v>
      </c>
      <c r="F44" s="166">
        <f>F21-F42</f>
        <v>0</v>
      </c>
      <c r="Z44" t="s">
        <v>379</v>
      </c>
      <c r="AA44" t="s">
        <v>49</v>
      </c>
      <c r="AB44" s="10" t="s">
        <v>49</v>
      </c>
      <c r="AC44" s="10">
        <v>6189</v>
      </c>
      <c r="AD44" t="s">
        <v>49</v>
      </c>
    </row>
    <row r="45" spans="2:35" ht="17" thickBot="1">
      <c r="Z45" s="179" t="s">
        <v>380</v>
      </c>
      <c r="AA45" s="210">
        <f>SUM(AA42:AA44)</f>
        <v>9517</v>
      </c>
      <c r="AB45" s="210">
        <f>SUM(AB42:AB44)</f>
        <v>50791</v>
      </c>
      <c r="AC45" s="210">
        <f>SUM(AC42:AC44)</f>
        <v>37200</v>
      </c>
      <c r="AD45" s="210">
        <f>SUM(AD42:AD44)</f>
        <v>13543</v>
      </c>
    </row>
    <row r="46" spans="2:35" ht="16">
      <c r="Z46" s="200" t="s">
        <v>383</v>
      </c>
      <c r="AA46" s="194"/>
      <c r="AB46" s="194"/>
      <c r="AC46" s="194"/>
      <c r="AD46" s="194"/>
    </row>
    <row r="47" spans="2:35" ht="16">
      <c r="Z47" s="196" t="s">
        <v>385</v>
      </c>
      <c r="AA47" s="194"/>
      <c r="AB47" s="194"/>
      <c r="AC47" s="194"/>
      <c r="AD47" s="194"/>
    </row>
    <row r="48" spans="2:35" ht="16">
      <c r="Z48" s="196" t="s">
        <v>388</v>
      </c>
      <c r="AA48" s="194">
        <v>8</v>
      </c>
      <c r="AB48" s="194">
        <v>1797</v>
      </c>
      <c r="AC48" s="194">
        <v>1844</v>
      </c>
      <c r="AD48" s="194">
        <v>1724</v>
      </c>
    </row>
    <row r="49" spans="26:30" ht="16">
      <c r="Z49" s="196" t="s">
        <v>390</v>
      </c>
      <c r="AA49" s="194">
        <v>101</v>
      </c>
      <c r="AB49" s="194">
        <v>76</v>
      </c>
      <c r="AC49" s="194">
        <v>102</v>
      </c>
      <c r="AD49" s="194">
        <v>75</v>
      </c>
    </row>
    <row r="50" spans="26:30" ht="16">
      <c r="Z50" s="200" t="s">
        <v>392</v>
      </c>
    </row>
    <row r="51" spans="26:30" ht="16">
      <c r="Z51" s="196" t="s">
        <v>394</v>
      </c>
      <c r="AA51" s="194" t="s">
        <v>49</v>
      </c>
      <c r="AB51" s="194">
        <v>123</v>
      </c>
      <c r="AC51" s="194">
        <v>71</v>
      </c>
      <c r="AD51" s="194">
        <v>311</v>
      </c>
    </row>
    <row r="52" spans="26:30" ht="16">
      <c r="Z52" s="196" t="s">
        <v>395</v>
      </c>
      <c r="AA52" s="194" t="s">
        <v>49</v>
      </c>
      <c r="AB52" s="194" t="s">
        <v>49</v>
      </c>
      <c r="AC52" s="194">
        <v>533</v>
      </c>
      <c r="AD52" s="194" t="s">
        <v>49</v>
      </c>
    </row>
    <row r="53" spans="26:30">
      <c r="Z53" t="s">
        <v>397</v>
      </c>
      <c r="AA53" s="194">
        <v>54</v>
      </c>
      <c r="AB53" s="194">
        <v>33</v>
      </c>
      <c r="AC53" s="194">
        <v>44</v>
      </c>
      <c r="AD53" s="194">
        <v>606</v>
      </c>
    </row>
  </sheetData>
  <mergeCells count="12">
    <mergeCell ref="T3:W3"/>
    <mergeCell ref="T5:W5"/>
    <mergeCell ref="AA5:AD5"/>
    <mergeCell ref="Z3:AD3"/>
    <mergeCell ref="AF3:AI3"/>
    <mergeCell ref="AF5:AI5"/>
    <mergeCell ref="C5:F5"/>
    <mergeCell ref="B3:F3"/>
    <mergeCell ref="H3:K3"/>
    <mergeCell ref="H5:K5"/>
    <mergeCell ref="O5:R5"/>
    <mergeCell ref="N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B4AFC-D04F-419E-AAD8-61CF8A5F8C2F}">
  <dimension ref="B3:AF27"/>
  <sheetViews>
    <sheetView topLeftCell="L1" workbookViewId="0">
      <selection activeCell="N4" sqref="N4:X14"/>
    </sheetView>
  </sheetViews>
  <sheetFormatPr baseColWidth="10" defaultColWidth="8.83203125" defaultRowHeight="15"/>
  <cols>
    <col min="2" max="2" width="29.33203125" customWidth="1"/>
    <col min="14" max="14" width="17.6640625" customWidth="1"/>
    <col min="20" max="20" width="17.5" customWidth="1"/>
  </cols>
  <sheetData>
    <row r="3" spans="2:32">
      <c r="B3" s="1" t="s">
        <v>163</v>
      </c>
    </row>
    <row r="4" spans="2:32" ht="16">
      <c r="C4" s="367" t="s">
        <v>5</v>
      </c>
      <c r="D4" s="367"/>
      <c r="E4" s="367"/>
      <c r="F4" s="367"/>
      <c r="H4" s="368" t="s">
        <v>165</v>
      </c>
      <c r="I4" s="368"/>
      <c r="J4" s="368"/>
      <c r="K4" s="368"/>
      <c r="N4" s="382" t="s">
        <v>427</v>
      </c>
      <c r="O4" s="382"/>
      <c r="P4" s="382"/>
      <c r="Q4" s="382"/>
      <c r="R4" s="382"/>
      <c r="S4" s="382"/>
      <c r="T4" s="382"/>
      <c r="U4" s="382"/>
      <c r="V4" s="382"/>
      <c r="W4" s="382"/>
      <c r="X4" s="382"/>
      <c r="Z4" s="361" t="s">
        <v>1</v>
      </c>
      <c r="AA4" s="361"/>
      <c r="AB4" s="361"/>
      <c r="AC4" s="361"/>
      <c r="AD4" s="361"/>
      <c r="AE4" s="361"/>
      <c r="AF4" s="361"/>
    </row>
    <row r="5" spans="2:32">
      <c r="C5" s="2">
        <v>2022</v>
      </c>
      <c r="D5" s="2">
        <v>2021</v>
      </c>
      <c r="E5" s="2">
        <v>2020</v>
      </c>
      <c r="F5" s="2">
        <v>2019</v>
      </c>
      <c r="H5" s="2">
        <v>2022</v>
      </c>
      <c r="I5" s="2">
        <v>2021</v>
      </c>
      <c r="J5" s="2">
        <v>2020</v>
      </c>
      <c r="K5" s="2">
        <v>2019</v>
      </c>
    </row>
    <row r="6" spans="2:32">
      <c r="B6" s="1" t="s">
        <v>428</v>
      </c>
      <c r="N6" s="287"/>
      <c r="O6" s="373" t="s">
        <v>5</v>
      </c>
      <c r="P6" s="373"/>
      <c r="Q6" s="373"/>
      <c r="R6" s="373"/>
      <c r="S6" s="250"/>
      <c r="T6" s="288"/>
      <c r="U6" s="374" t="s">
        <v>165</v>
      </c>
      <c r="V6" s="374"/>
      <c r="W6" s="374"/>
      <c r="X6" s="375"/>
      <c r="Z6" s="367" t="s">
        <v>5</v>
      </c>
      <c r="AA6" s="367"/>
      <c r="AB6" s="367"/>
      <c r="AD6" s="368" t="s">
        <v>165</v>
      </c>
      <c r="AE6" s="368"/>
      <c r="AF6" s="368"/>
    </row>
    <row r="7" spans="2:32" ht="16">
      <c r="B7" s="163" t="s">
        <v>153</v>
      </c>
      <c r="C7">
        <f>'Trend Analysis Calculation'!C21</f>
        <v>187378</v>
      </c>
      <c r="D7">
        <f>'Trend Analysis Calculation'!D21</f>
        <v>182018</v>
      </c>
      <c r="E7">
        <f>'Trend Analysis Calculation'!E21</f>
        <v>174894</v>
      </c>
      <c r="F7">
        <f>'Trend Analysis Calculation'!F21</f>
        <v>157728</v>
      </c>
      <c r="H7">
        <f>'Trend Analysis Calculation'!N21</f>
        <v>240599</v>
      </c>
      <c r="I7">
        <f>'Trend Analysis Calculation'!O21</f>
        <v>272597</v>
      </c>
      <c r="J7">
        <f>'Trend Analysis Calculation'!P21</f>
        <v>240732</v>
      </c>
      <c r="K7">
        <f>'Trend Analysis Calculation'!Q21</f>
        <v>234022</v>
      </c>
      <c r="N7" s="248"/>
      <c r="O7" s="2">
        <v>2022</v>
      </c>
      <c r="P7" s="2">
        <v>2021</v>
      </c>
      <c r="Q7" s="2">
        <v>2020</v>
      </c>
      <c r="R7" s="2">
        <v>2019</v>
      </c>
      <c r="T7" s="2"/>
      <c r="U7" s="2">
        <v>2022</v>
      </c>
      <c r="V7" s="2">
        <v>2021</v>
      </c>
      <c r="W7" s="2">
        <v>2020</v>
      </c>
      <c r="X7" s="251">
        <v>2019</v>
      </c>
      <c r="Z7" s="2">
        <v>2022</v>
      </c>
      <c r="AA7" s="2">
        <v>2021</v>
      </c>
      <c r="AB7" s="2">
        <v>2020</v>
      </c>
      <c r="AD7" s="2">
        <v>2022</v>
      </c>
      <c r="AE7" s="2">
        <v>2021</v>
      </c>
      <c r="AF7" s="2">
        <v>2020</v>
      </c>
    </row>
    <row r="8" spans="2:32" ht="16">
      <c r="B8" s="163" t="s">
        <v>429</v>
      </c>
      <c r="C8" s="11">
        <f>('Trend Analysis Calculation'!C9)+('Trend Analysis Calculation'!C10)</f>
        <v>23519</v>
      </c>
      <c r="D8" s="11">
        <f>('Trend Analysis Calculation'!D9)+('Trend Analysis Calculation'!D10)</f>
        <v>31608</v>
      </c>
      <c r="E8" s="11">
        <f>('Trend Analysis Calculation'!E9)+('Trend Analysis Calculation'!E10)</f>
        <v>25185</v>
      </c>
      <c r="F8" s="11">
        <f>('Trend Analysis Calculation'!F9)+('Trend Analysis Calculation'!F10)</f>
        <v>19287</v>
      </c>
      <c r="H8">
        <f>('Trend Analysis Calculation'!N9)+('Trend Analysis Calculation'!N11)</f>
        <v>15167</v>
      </c>
      <c r="I8">
        <f>('Trend Analysis Calculation'!O9)+('Trend Analysis Calculation'!O11)</f>
        <v>93179</v>
      </c>
      <c r="J8">
        <f>('Trend Analysis Calculation'!P9)+('Trend Analysis Calculation'!P11)</f>
        <v>63684</v>
      </c>
      <c r="K8">
        <f>('Trend Analysis Calculation'!Q9)+('Trend Analysis Calculation'!Q11)</f>
        <v>85022</v>
      </c>
      <c r="N8" s="219" t="s">
        <v>430</v>
      </c>
      <c r="O8" s="11">
        <f>C14</f>
        <v>92944</v>
      </c>
      <c r="P8" s="11">
        <f>D14</f>
        <v>76166</v>
      </c>
      <c r="Q8" s="11">
        <f>E14</f>
        <v>73359</v>
      </c>
      <c r="R8" s="11">
        <f>F14</f>
        <v>67880</v>
      </c>
      <c r="T8" s="1" t="s">
        <v>430</v>
      </c>
      <c r="U8" s="11">
        <f>H14</f>
        <v>161035</v>
      </c>
      <c r="V8" s="11">
        <f>I14</f>
        <v>123454</v>
      </c>
      <c r="W8" s="11">
        <f>J14</f>
        <v>114321</v>
      </c>
      <c r="X8" s="289">
        <f>K14</f>
        <v>100317</v>
      </c>
      <c r="Z8" s="188">
        <f t="shared" ref="Z8:AB11" si="0">(O8-P8)/P8</f>
        <v>0.22028201559751071</v>
      </c>
      <c r="AA8" s="42">
        <f t="shared" si="0"/>
        <v>3.8263880369143528E-2</v>
      </c>
      <c r="AB8" s="42">
        <f t="shared" si="0"/>
        <v>8.0715969357690043E-2</v>
      </c>
      <c r="AC8" s="42"/>
      <c r="AD8" s="42">
        <f t="shared" ref="AD8:AF11" si="1">(U8-V8)/V8</f>
        <v>0.30441297973334197</v>
      </c>
      <c r="AE8" s="42">
        <f t="shared" si="1"/>
        <v>7.9889084245239286E-2</v>
      </c>
      <c r="AF8" s="42">
        <f t="shared" si="1"/>
        <v>0.13959747600107658</v>
      </c>
    </row>
    <row r="9" spans="2:32" ht="16">
      <c r="B9" s="217" t="s">
        <v>431</v>
      </c>
      <c r="C9" s="280">
        <f>C7-C8</f>
        <v>163859</v>
      </c>
      <c r="D9" s="280">
        <f>D7-D8</f>
        <v>150410</v>
      </c>
      <c r="E9" s="280">
        <f>E7-E8</f>
        <v>149709</v>
      </c>
      <c r="F9" s="280">
        <f>F7-F8</f>
        <v>138441</v>
      </c>
      <c r="G9" s="279"/>
      <c r="H9" s="279">
        <f>H7-H8</f>
        <v>225432</v>
      </c>
      <c r="I9" s="279">
        <f>I7-I8</f>
        <v>179418</v>
      </c>
      <c r="J9" s="279">
        <f>J7-J8</f>
        <v>177048</v>
      </c>
      <c r="K9" s="279">
        <f>K7-K8</f>
        <v>149000</v>
      </c>
      <c r="N9" s="219" t="s">
        <v>432</v>
      </c>
      <c r="O9">
        <f t="shared" ref="O9:R11" si="2">C21</f>
        <v>17941</v>
      </c>
      <c r="P9">
        <f t="shared" si="2"/>
        <v>20878</v>
      </c>
      <c r="Q9">
        <f t="shared" si="2"/>
        <v>14714</v>
      </c>
      <c r="R9">
        <f t="shared" si="2"/>
        <v>15119</v>
      </c>
      <c r="T9" s="1" t="s">
        <v>432</v>
      </c>
      <c r="U9">
        <f t="shared" ref="U9:X11" si="3">H21</f>
        <v>-49019</v>
      </c>
      <c r="V9">
        <f t="shared" si="3"/>
        <v>-38679</v>
      </c>
      <c r="W9">
        <f t="shared" si="3"/>
        <v>-14466</v>
      </c>
      <c r="X9" s="165">
        <f t="shared" si="3"/>
        <v>-31083</v>
      </c>
      <c r="Z9" s="42">
        <f t="shared" si="0"/>
        <v>-0.14067439409905164</v>
      </c>
      <c r="AA9" s="42">
        <f t="shared" si="0"/>
        <v>0.41892075574282994</v>
      </c>
      <c r="AB9" s="42">
        <f t="shared" si="0"/>
        <v>-2.6787485944837621E-2</v>
      </c>
      <c r="AC9" s="42"/>
      <c r="AD9" s="42">
        <f t="shared" si="1"/>
        <v>0.26732852452235062</v>
      </c>
      <c r="AE9" s="42">
        <f t="shared" si="1"/>
        <v>1.6737868104520945</v>
      </c>
      <c r="AF9" s="42">
        <f t="shared" si="1"/>
        <v>-0.53460090724833509</v>
      </c>
    </row>
    <row r="10" spans="2:32">
      <c r="B10" t="s">
        <v>152</v>
      </c>
      <c r="C10">
        <f>'Trend Analysis Calculation'!C36</f>
        <v>110574</v>
      </c>
      <c r="D10">
        <f>'Trend Analysis Calculation'!D36</f>
        <v>107995</v>
      </c>
      <c r="E10">
        <f>'Trend Analysis Calculation'!E36</f>
        <v>111616</v>
      </c>
      <c r="F10">
        <f>'Trend Analysis Calculation'!F36</f>
        <v>98257</v>
      </c>
      <c r="H10">
        <f>'Trend Analysis Calculation'!N32</f>
        <v>94239</v>
      </c>
      <c r="I10">
        <f>'Trend Analysis Calculation'!O32</f>
        <v>93491</v>
      </c>
      <c r="J10">
        <f>'Trend Analysis Calculation'!P32</f>
        <v>101153</v>
      </c>
      <c r="K10">
        <f>'Trend Analysis Calculation'!Q32</f>
        <v>87895</v>
      </c>
      <c r="N10" s="219" t="s">
        <v>433</v>
      </c>
      <c r="O10">
        <f t="shared" si="2"/>
        <v>21194</v>
      </c>
      <c r="P10">
        <f t="shared" si="2"/>
        <v>23410</v>
      </c>
      <c r="Q10">
        <f t="shared" si="2"/>
        <v>23536</v>
      </c>
      <c r="R10">
        <f t="shared" si="2"/>
        <v>23416</v>
      </c>
      <c r="T10" s="1" t="s">
        <v>433</v>
      </c>
      <c r="U10">
        <f t="shared" si="3"/>
        <v>-76275</v>
      </c>
      <c r="V10">
        <f t="shared" si="3"/>
        <v>-38154</v>
      </c>
      <c r="W10">
        <f t="shared" si="3"/>
        <v>-12066</v>
      </c>
      <c r="X10" s="165">
        <f t="shared" si="3"/>
        <v>-19992</v>
      </c>
      <c r="Z10" s="42">
        <f t="shared" si="0"/>
        <v>-9.4660401537804362E-2</v>
      </c>
      <c r="AA10" s="42">
        <f t="shared" si="0"/>
        <v>-5.3535010197144801E-3</v>
      </c>
      <c r="AB10" s="42">
        <f t="shared" si="0"/>
        <v>5.1247010591048857E-3</v>
      </c>
      <c r="AC10" s="42"/>
      <c r="AD10" s="42">
        <f t="shared" si="1"/>
        <v>0.99913508413272523</v>
      </c>
      <c r="AE10" s="42">
        <f t="shared" si="1"/>
        <v>2.1621084037792144</v>
      </c>
      <c r="AF10" s="42">
        <f t="shared" si="1"/>
        <v>-0.39645858343337337</v>
      </c>
    </row>
    <row r="11" spans="2:32">
      <c r="B11" t="s">
        <v>434</v>
      </c>
      <c r="C11">
        <f>'Trend Analysis Calculation'!C31</f>
        <v>26888</v>
      </c>
      <c r="D11">
        <f>'Trend Analysis Calculation'!D31</f>
        <v>29985</v>
      </c>
      <c r="E11">
        <f>'Trend Analysis Calculation'!E31</f>
        <v>32635</v>
      </c>
      <c r="F11">
        <f>'Trend Analysis Calculation'!F31</f>
        <v>26494</v>
      </c>
      <c r="H11">
        <f>'Trend Analysis Calculation'!N30</f>
        <v>29842</v>
      </c>
      <c r="I11">
        <f>'Trend Analysis Calculation'!O29</f>
        <v>37527</v>
      </c>
      <c r="J11">
        <f>'Trend Analysis Calculation'!P29</f>
        <v>38426</v>
      </c>
      <c r="K11">
        <f>'Trend Analysis Calculation'!Q29</f>
        <v>39212</v>
      </c>
      <c r="N11" s="219" t="s">
        <v>435</v>
      </c>
      <c r="O11">
        <f t="shared" si="2"/>
        <v>-12371</v>
      </c>
      <c r="P11">
        <f t="shared" si="2"/>
        <v>-8683</v>
      </c>
      <c r="Q11">
        <f t="shared" si="2"/>
        <v>-20825</v>
      </c>
      <c r="R11">
        <f t="shared" si="2"/>
        <v>-6194</v>
      </c>
      <c r="T11" s="1" t="s">
        <v>435</v>
      </c>
      <c r="U11" s="10">
        <f t="shared" si="3"/>
        <v>34963</v>
      </c>
      <c r="V11" s="10">
        <f t="shared" si="3"/>
        <v>-8623</v>
      </c>
      <c r="W11" s="10">
        <f t="shared" si="3"/>
        <v>36696</v>
      </c>
      <c r="X11" s="290">
        <f t="shared" si="3"/>
        <v>11007</v>
      </c>
      <c r="Z11" s="42">
        <f t="shared" si="0"/>
        <v>0.42473799378095128</v>
      </c>
      <c r="AA11" s="42">
        <f t="shared" si="0"/>
        <v>-0.58304921968787515</v>
      </c>
      <c r="AB11" s="42">
        <f t="shared" si="0"/>
        <v>2.3621246367452375</v>
      </c>
      <c r="AC11" s="42"/>
      <c r="AD11" s="42">
        <f t="shared" si="1"/>
        <v>-5.0546213614751245</v>
      </c>
      <c r="AE11" s="42">
        <f t="shared" si="1"/>
        <v>-1.2349847394811424</v>
      </c>
      <c r="AF11" s="42">
        <f t="shared" si="1"/>
        <v>2.3338784409920961</v>
      </c>
    </row>
    <row r="12" spans="2:32">
      <c r="B12" t="s">
        <v>436</v>
      </c>
      <c r="C12">
        <f>'Trend Analysis Calculation'!C24</f>
        <v>12771</v>
      </c>
      <c r="D12">
        <f>'Trend Analysis Calculation'!D24</f>
        <v>3766</v>
      </c>
      <c r="E12">
        <f>'Trend Analysis Calculation'!E24</f>
        <v>2631</v>
      </c>
      <c r="F12">
        <f>'Trend Analysis Calculation'!F24</f>
        <v>1202</v>
      </c>
      <c r="H12">
        <v>0</v>
      </c>
      <c r="I12">
        <v>0</v>
      </c>
      <c r="J12">
        <v>0</v>
      </c>
      <c r="K12">
        <v>0</v>
      </c>
      <c r="N12" s="219"/>
      <c r="T12" s="1"/>
      <c r="U12" s="10"/>
      <c r="X12" s="165"/>
      <c r="Z12" s="42"/>
      <c r="AA12" s="42"/>
      <c r="AB12" s="42"/>
      <c r="AC12" s="42"/>
      <c r="AD12" s="42"/>
      <c r="AE12" s="42"/>
      <c r="AF12" s="42"/>
    </row>
    <row r="13" spans="2:32" ht="17" thickBot="1">
      <c r="B13" s="217" t="s">
        <v>437</v>
      </c>
      <c r="C13" s="1">
        <f>(C10)-(C11)-(C12)</f>
        <v>70915</v>
      </c>
      <c r="D13" s="1">
        <f>(D10)-(D11)-(D12)</f>
        <v>74244</v>
      </c>
      <c r="E13" s="1">
        <f>(E10)-(E11)-(E12)</f>
        <v>76350</v>
      </c>
      <c r="F13" s="1">
        <f>(F10)-(F11)-(F12)</f>
        <v>70561</v>
      </c>
      <c r="G13" s="1"/>
      <c r="H13" s="1">
        <f>(H10)-(H11)-(H12)</f>
        <v>64397</v>
      </c>
      <c r="I13" s="1">
        <f>(I10)-(I11)-(I12)</f>
        <v>55964</v>
      </c>
      <c r="J13" s="1">
        <f>(J10)-(J11)-(J12)</f>
        <v>62727</v>
      </c>
      <c r="K13" s="1">
        <f>(K10)-(K11)-(K12)</f>
        <v>48683</v>
      </c>
      <c r="N13" s="291" t="s">
        <v>132</v>
      </c>
      <c r="O13" s="292">
        <f>C18</f>
        <v>0.19842705931050794</v>
      </c>
      <c r="P13" s="292">
        <f>D18</f>
        <v>3.7545560942986125E-2</v>
      </c>
      <c r="Q13" s="292">
        <f>E18</f>
        <v>7.7584803064309427E-2</v>
      </c>
      <c r="R13" s="293"/>
      <c r="T13" s="1" t="s">
        <v>132</v>
      </c>
      <c r="U13" s="294">
        <f>H18</f>
        <v>0.26420002179346125</v>
      </c>
      <c r="V13" s="294">
        <f>I18</f>
        <v>7.6820523604247709E-2</v>
      </c>
      <c r="W13" s="294">
        <f>J18</f>
        <v>0.13048947530260252</v>
      </c>
      <c r="X13" s="295"/>
      <c r="Z13" s="42">
        <f>(O13-P13)/P13</f>
        <v>4.2849672325264869</v>
      </c>
      <c r="AA13" s="42">
        <f>(P13-Q13)/Q13</f>
        <v>-0.51607068059623862</v>
      </c>
      <c r="AB13" s="42"/>
      <c r="AC13" s="42"/>
      <c r="AD13" s="42">
        <f>(U13-V13)/V13</f>
        <v>2.4391853816894913</v>
      </c>
      <c r="AE13" s="42">
        <f>(V13-W13)/W13</f>
        <v>-0.41128950494971006</v>
      </c>
      <c r="AF13" s="42"/>
    </row>
    <row r="14" spans="2:32" ht="16" thickBot="1">
      <c r="B14" s="179" t="s">
        <v>134</v>
      </c>
      <c r="C14" s="284">
        <f>C9-C13</f>
        <v>92944</v>
      </c>
      <c r="D14" s="284">
        <f>D9-D13</f>
        <v>76166</v>
      </c>
      <c r="E14" s="284">
        <f>E9-E13</f>
        <v>73359</v>
      </c>
      <c r="F14" s="284">
        <f>F9-F13</f>
        <v>67880</v>
      </c>
      <c r="G14" s="284"/>
      <c r="H14" s="284">
        <f>H9-H13</f>
        <v>161035</v>
      </c>
      <c r="I14" s="284">
        <f>I9-I13</f>
        <v>123454</v>
      </c>
      <c r="J14" s="284">
        <f>J9-J13</f>
        <v>114321</v>
      </c>
      <c r="K14" s="284">
        <f>K9-K13</f>
        <v>100317</v>
      </c>
      <c r="N14" s="296" t="s">
        <v>438</v>
      </c>
      <c r="O14" s="297">
        <f>C27</f>
        <v>0.10783513689314647</v>
      </c>
      <c r="P14" s="297">
        <f>D27</f>
        <v>8.2273867246279886E-2</v>
      </c>
      <c r="Q14" s="297">
        <f>E27</f>
        <v>0.16996721868605696</v>
      </c>
      <c r="R14" s="298"/>
      <c r="S14" s="17"/>
      <c r="T14" s="279" t="s">
        <v>438</v>
      </c>
      <c r="U14" s="299">
        <f>H27</f>
        <v>-5.4181356748415579E-2</v>
      </c>
      <c r="V14" s="299">
        <f>I27</f>
        <v>6.8114814425402168E-2</v>
      </c>
      <c r="W14" s="299">
        <f>J27</f>
        <v>-0.36429709557487489</v>
      </c>
      <c r="X14" s="300"/>
      <c r="Z14" s="42">
        <f>(O14-P14)/P14</f>
        <v>0.31068516045746436</v>
      </c>
      <c r="AA14" s="42">
        <f>(P14-Q14)/Q14</f>
        <v>-0.51594273365003229</v>
      </c>
      <c r="AB14" s="42"/>
      <c r="AC14" s="42"/>
      <c r="AD14" s="42">
        <f>(U14-V14)/V14</f>
        <v>-1.7954415967433017</v>
      </c>
      <c r="AE14" s="42">
        <f>(V14-W14)/W14</f>
        <v>-1.186976001875377</v>
      </c>
      <c r="AF14" s="42"/>
    </row>
    <row r="15" spans="2:32" ht="16" thickBot="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32">
      <c r="B16" s="257" t="s">
        <v>132</v>
      </c>
      <c r="C16" s="258"/>
      <c r="D16" s="258"/>
      <c r="E16" s="258"/>
      <c r="F16" s="258"/>
      <c r="G16" s="258"/>
      <c r="H16" s="258"/>
      <c r="I16" s="258"/>
      <c r="J16" s="259"/>
      <c r="K16" s="1"/>
    </row>
    <row r="17" spans="2:11">
      <c r="B17" s="260"/>
      <c r="C17" s="361" t="s">
        <v>439</v>
      </c>
      <c r="D17" s="361"/>
      <c r="E17" s="361"/>
      <c r="F17" s="361"/>
      <c r="G17" s="361"/>
      <c r="H17" s="361"/>
      <c r="I17" s="361"/>
      <c r="J17" s="376"/>
      <c r="K17" s="1"/>
    </row>
    <row r="18" spans="2:11" ht="16" thickBot="1">
      <c r="B18" s="245"/>
      <c r="C18" s="302">
        <f>(C14-D14)/((C14+D14)/2)</f>
        <v>0.19842705931050794</v>
      </c>
      <c r="D18" s="302">
        <f>(D14-E14)/((D14+E14)/2)</f>
        <v>3.7545560942986125E-2</v>
      </c>
      <c r="E18" s="302">
        <f>(E14-F14)/((E14+F14)/2)</f>
        <v>7.7584803064309427E-2</v>
      </c>
      <c r="F18" s="302"/>
      <c r="G18" s="302"/>
      <c r="H18" s="302">
        <f>(H14-I14)/((H14+I14)/2)</f>
        <v>0.26420002179346125</v>
      </c>
      <c r="I18" s="302">
        <f>(I14-J14)/((I14+J14)/2)</f>
        <v>7.6820523604247709E-2</v>
      </c>
      <c r="J18" s="303">
        <f>(J14-K14)/((J14+K14)/2)</f>
        <v>0.13048947530260252</v>
      </c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>
      <c r="B20" s="1" t="s">
        <v>440</v>
      </c>
    </row>
    <row r="21" spans="2:11" ht="16">
      <c r="B21" s="217" t="s">
        <v>441</v>
      </c>
      <c r="C21" s="279">
        <f>'Trend Analysis Calculation'!AW8</f>
        <v>17941</v>
      </c>
      <c r="D21" s="279">
        <f>'Trend Analysis Calculation'!AX8</f>
        <v>20878</v>
      </c>
      <c r="E21" s="279">
        <f>'Trend Analysis Calculation'!AY8</f>
        <v>14714</v>
      </c>
      <c r="F21" s="279">
        <f>'Trend Analysis Calculation'!AZ8</f>
        <v>15119</v>
      </c>
      <c r="G21" s="279"/>
      <c r="H21" s="279">
        <f>'Trend Analysis Calculation'!BH8</f>
        <v>-49019</v>
      </c>
      <c r="I21" s="279">
        <f>'Trend Analysis Calculation'!BI8</f>
        <v>-38679</v>
      </c>
      <c r="J21" s="279">
        <f>'Trend Analysis Calculation'!BJ8</f>
        <v>-14466</v>
      </c>
      <c r="K21" s="279">
        <f>'Trend Analysis Calculation'!BK8</f>
        <v>-31083</v>
      </c>
    </row>
    <row r="22" spans="2:11">
      <c r="B22" s="286" t="s">
        <v>442</v>
      </c>
      <c r="C22" s="286">
        <f>'Trend Analysis Calculation'!AW23</f>
        <v>21194</v>
      </c>
      <c r="D22" s="286">
        <f>'Trend Analysis Calculation'!AX23</f>
        <v>23410</v>
      </c>
      <c r="E22" s="286">
        <f>'Trend Analysis Calculation'!AY23</f>
        <v>23536</v>
      </c>
      <c r="F22" s="286">
        <f>'Trend Analysis Calculation'!AZ23</f>
        <v>23416</v>
      </c>
      <c r="G22" s="286"/>
      <c r="H22" s="286">
        <f>'Trend Analysis Calculation'!BH20</f>
        <v>-76275</v>
      </c>
      <c r="I22" s="286">
        <f>'Trend Analysis Calculation'!BI20</f>
        <v>-38154</v>
      </c>
      <c r="J22" s="286">
        <f>'Trend Analysis Calculation'!BJ20</f>
        <v>-12066</v>
      </c>
      <c r="K22" s="286">
        <f>'Trend Analysis Calculation'!BK20</f>
        <v>-19992</v>
      </c>
    </row>
    <row r="23" spans="2:11">
      <c r="B23" s="286" t="s">
        <v>443</v>
      </c>
      <c r="C23" s="286">
        <f>'Trend Analysis Calculation'!AW32</f>
        <v>-12371</v>
      </c>
      <c r="D23" s="286">
        <f>'Trend Analysis Calculation'!AX32</f>
        <v>-8683</v>
      </c>
      <c r="E23" s="286">
        <f>'Trend Analysis Calculation'!AY32</f>
        <v>-20825</v>
      </c>
      <c r="F23" s="286">
        <f>'Trend Analysis Calculation'!AZ32</f>
        <v>-6194</v>
      </c>
      <c r="G23" s="286"/>
      <c r="H23" s="187">
        <f>'Trend Analysis Calculation'!BH26</f>
        <v>34963</v>
      </c>
      <c r="I23" s="187">
        <f>'Trend Analysis Calculation'!BI26</f>
        <v>-8623</v>
      </c>
      <c r="J23" s="187">
        <f>'Trend Analysis Calculation'!BJ26</f>
        <v>36696</v>
      </c>
      <c r="K23" s="187">
        <f>'Trend Analysis Calculation'!BK26</f>
        <v>11007</v>
      </c>
    </row>
    <row r="24" spans="2:11" ht="16" thickBot="1"/>
    <row r="25" spans="2:11">
      <c r="B25" s="257" t="s">
        <v>438</v>
      </c>
      <c r="C25" s="258"/>
      <c r="D25" s="258"/>
      <c r="E25" s="258"/>
      <c r="F25" s="258"/>
      <c r="G25" s="258"/>
      <c r="H25" s="258"/>
      <c r="I25" s="258"/>
      <c r="J25" s="259"/>
    </row>
    <row r="26" spans="2:11">
      <c r="B26" s="260"/>
      <c r="C26" s="361" t="s">
        <v>444</v>
      </c>
      <c r="D26" s="361"/>
      <c r="E26" s="361"/>
      <c r="F26" s="361"/>
      <c r="G26" s="361"/>
      <c r="H26" s="361"/>
      <c r="I26" s="361"/>
      <c r="J26" s="376"/>
    </row>
    <row r="27" spans="2:11" ht="16" thickBot="1">
      <c r="B27" s="245"/>
      <c r="C27" s="302">
        <f>(C21-(C22+C23))/((C14+D14)/2)</f>
        <v>0.10783513689314647</v>
      </c>
      <c r="D27" s="302">
        <f>(D21-(D22+D23))/((D14+E14)/2)</f>
        <v>8.2273867246279886E-2</v>
      </c>
      <c r="E27" s="302">
        <f>(E21-(E22+E23))/((E14+F14)/2)</f>
        <v>0.16996721868605696</v>
      </c>
      <c r="F27" s="302"/>
      <c r="G27" s="302"/>
      <c r="H27" s="302">
        <f>(H21-(H22+H23))/((H14+I14)/2)</f>
        <v>-5.4181356748415579E-2</v>
      </c>
      <c r="I27" s="302">
        <f>(I21-(I22+I23))/((I14+J14)/2)</f>
        <v>6.8114814425402168E-2</v>
      </c>
      <c r="J27" s="303">
        <f>(J21-(J22+J23))/((J14+K14)/2)</f>
        <v>-0.36429709557487489</v>
      </c>
    </row>
  </sheetData>
  <mergeCells count="10">
    <mergeCell ref="Z4:AF4"/>
    <mergeCell ref="Z6:AB6"/>
    <mergeCell ref="AD6:AF6"/>
    <mergeCell ref="C4:F4"/>
    <mergeCell ref="H4:K4"/>
    <mergeCell ref="C17:J17"/>
    <mergeCell ref="C26:J26"/>
    <mergeCell ref="O6:R6"/>
    <mergeCell ref="U6:X6"/>
    <mergeCell ref="N4:X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FD32-1873-4FD0-A627-DB678517CBDA}">
  <dimension ref="A3:L34"/>
  <sheetViews>
    <sheetView topLeftCell="G1" workbookViewId="0">
      <selection activeCell="J3" sqref="J3:L11"/>
    </sheetView>
  </sheetViews>
  <sheetFormatPr baseColWidth="10" defaultColWidth="8.83203125" defaultRowHeight="15"/>
  <cols>
    <col min="1" max="1" width="15.1640625" customWidth="1"/>
    <col min="3" max="3" width="48" bestFit="1" customWidth="1"/>
    <col min="4" max="4" width="14.5" bestFit="1" customWidth="1"/>
    <col min="6" max="6" width="40.5" bestFit="1" customWidth="1"/>
    <col min="7" max="7" width="13.6640625" bestFit="1" customWidth="1"/>
    <col min="10" max="10" width="9.5" bestFit="1" customWidth="1"/>
    <col min="11" max="11" width="17.6640625" customWidth="1"/>
    <col min="12" max="13" width="22.1640625" bestFit="1" customWidth="1"/>
    <col min="14" max="14" width="15.83203125" bestFit="1" customWidth="1"/>
    <col min="15" max="15" width="22.1640625" bestFit="1" customWidth="1"/>
  </cols>
  <sheetData>
    <row r="3" spans="1:12">
      <c r="A3" s="1" t="s">
        <v>163</v>
      </c>
      <c r="J3" s="361" t="s">
        <v>445</v>
      </c>
      <c r="K3" s="361"/>
      <c r="L3" s="361"/>
    </row>
    <row r="4" spans="1:12">
      <c r="C4" s="305" t="s">
        <v>5</v>
      </c>
      <c r="D4" s="2">
        <v>2022</v>
      </c>
      <c r="F4" s="304" t="s">
        <v>165</v>
      </c>
      <c r="G4" s="2">
        <v>2022</v>
      </c>
    </row>
    <row r="5" spans="1:12">
      <c r="C5" s="1" t="s">
        <v>446</v>
      </c>
      <c r="F5" s="1" t="s">
        <v>446</v>
      </c>
      <c r="J5" s="261"/>
      <c r="K5" s="383">
        <v>2022</v>
      </c>
      <c r="L5" s="384"/>
    </row>
    <row r="6" spans="1:12">
      <c r="C6" t="s">
        <v>447</v>
      </c>
      <c r="D6" s="22">
        <f>'Financial Ratios Calculation'!D84</f>
        <v>6.8346666666666662</v>
      </c>
      <c r="E6" s="22"/>
      <c r="F6" t="s">
        <v>447</v>
      </c>
      <c r="G6" s="22">
        <f>'Financial Ratios Calculation'!I84</f>
        <v>-0.53164905674292695</v>
      </c>
      <c r="H6" s="22"/>
      <c r="I6" s="22"/>
      <c r="J6" s="219" t="s">
        <v>448</v>
      </c>
      <c r="K6" s="305" t="s">
        <v>5</v>
      </c>
      <c r="L6" s="309" t="s">
        <v>165</v>
      </c>
    </row>
    <row r="7" spans="1:12" ht="16" thickBot="1">
      <c r="C7" t="s">
        <v>449</v>
      </c>
      <c r="D7">
        <f>-0.91</f>
        <v>-0.91</v>
      </c>
      <c r="F7" t="s">
        <v>449</v>
      </c>
      <c r="G7">
        <v>-10.82</v>
      </c>
      <c r="J7" s="310" t="s">
        <v>450</v>
      </c>
      <c r="K7" s="312">
        <f>D8</f>
        <v>-6.2195466666666661</v>
      </c>
      <c r="L7" s="313">
        <f>G8</f>
        <v>5.7524427939584699</v>
      </c>
    </row>
    <row r="8" spans="1:12" ht="17" thickBot="1">
      <c r="C8" s="172" t="s">
        <v>451</v>
      </c>
      <c r="D8" s="338">
        <f>D6*D7</f>
        <v>-6.2195466666666661</v>
      </c>
      <c r="E8" s="308"/>
      <c r="F8" s="308" t="s">
        <v>452</v>
      </c>
      <c r="G8" s="342">
        <f>G6*G7</f>
        <v>5.7524427939584699</v>
      </c>
      <c r="J8" s="310" t="s">
        <v>453</v>
      </c>
      <c r="K8" s="312">
        <f>D14</f>
        <v>26.917973333333336</v>
      </c>
      <c r="L8" s="313">
        <f>G14</f>
        <v>2.1747211008895708</v>
      </c>
    </row>
    <row r="9" spans="1:12">
      <c r="C9" s="1" t="s">
        <v>454</v>
      </c>
      <c r="D9" s="1"/>
      <c r="E9" s="1"/>
      <c r="F9" s="1" t="s">
        <v>454</v>
      </c>
      <c r="J9" s="310" t="s">
        <v>455</v>
      </c>
      <c r="K9" s="312">
        <f>D20</f>
        <v>111.39978666666669</v>
      </c>
      <c r="L9" s="313">
        <f>G20</f>
        <v>2.1091087158819022</v>
      </c>
    </row>
    <row r="10" spans="1:12">
      <c r="C10" t="s">
        <v>456</v>
      </c>
      <c r="D10">
        <f>'Trend Analysis Calculation'!C47</f>
        <v>76804</v>
      </c>
      <c r="F10" t="s">
        <v>456</v>
      </c>
      <c r="G10">
        <f>'Trend Analysis Calculation'!N41</f>
        <v>146360</v>
      </c>
      <c r="J10" s="310" t="s">
        <v>457</v>
      </c>
      <c r="K10" s="312">
        <f>D26</f>
        <v>-7.1857752380952382</v>
      </c>
      <c r="L10" s="313">
        <f>G26</f>
        <v>-5.0628404217705079</v>
      </c>
    </row>
    <row r="11" spans="1:12">
      <c r="C11" t="s">
        <v>458</v>
      </c>
      <c r="D11" s="10">
        <f>'Financial Ratios Calculation'!D78</f>
        <v>2625</v>
      </c>
      <c r="F11" t="s">
        <v>458</v>
      </c>
      <c r="G11" s="10">
        <f>'Financial Ratios Calculation'!I78</f>
        <v>92201.8</v>
      </c>
      <c r="H11" s="10"/>
      <c r="I11" s="10"/>
      <c r="J11" s="311" t="s">
        <v>459</v>
      </c>
      <c r="K11" s="314">
        <f>D31</f>
        <v>5.2818350000000001</v>
      </c>
      <c r="L11" s="315">
        <f>G31</f>
        <v>0</v>
      </c>
    </row>
    <row r="12" spans="1:12">
      <c r="C12" s="17" t="s">
        <v>460</v>
      </c>
      <c r="D12" s="262">
        <f>D10/D11</f>
        <v>29.258666666666667</v>
      </c>
      <c r="E12" s="17"/>
      <c r="F12" s="17" t="s">
        <v>460</v>
      </c>
      <c r="G12" s="262">
        <f>'Financial Ratios Calculation'!I88</f>
        <v>1.5873876648828982</v>
      </c>
    </row>
    <row r="13" spans="1:12" ht="16" thickBot="1">
      <c r="C13" t="s">
        <v>461</v>
      </c>
      <c r="D13">
        <f>0.92</f>
        <v>0.92</v>
      </c>
      <c r="F13" t="s">
        <v>461</v>
      </c>
      <c r="G13">
        <f>1.37</f>
        <v>1.37</v>
      </c>
    </row>
    <row r="14" spans="1:12" ht="17" thickBot="1">
      <c r="C14" s="172" t="s">
        <v>462</v>
      </c>
      <c r="D14" s="338">
        <f>D12*D13</f>
        <v>26.917973333333336</v>
      </c>
      <c r="E14" s="308"/>
      <c r="F14" s="308" t="s">
        <v>462</v>
      </c>
      <c r="G14" s="342">
        <f>G12*G13</f>
        <v>2.1747211008895708</v>
      </c>
    </row>
    <row r="15" spans="1:12">
      <c r="C15" s="1" t="s">
        <v>463</v>
      </c>
      <c r="F15" s="1" t="s">
        <v>463</v>
      </c>
    </row>
    <row r="16" spans="1:12">
      <c r="C16" t="s">
        <v>464</v>
      </c>
      <c r="D16" s="10">
        <f>'Trend Analysis Calculation'!Z7</f>
        <v>94943</v>
      </c>
      <c r="F16" t="s">
        <v>464</v>
      </c>
      <c r="G16" s="10">
        <f>'Trend Analysis Calculation'!AK7</f>
        <v>313651</v>
      </c>
    </row>
    <row r="17" spans="3:7">
      <c r="C17" t="s">
        <v>458</v>
      </c>
      <c r="D17">
        <f>D11</f>
        <v>2625</v>
      </c>
      <c r="F17" t="s">
        <v>458</v>
      </c>
      <c r="G17" s="10">
        <f>G11</f>
        <v>92201.8</v>
      </c>
    </row>
    <row r="18" spans="3:7">
      <c r="C18" s="17" t="s">
        <v>465</v>
      </c>
      <c r="D18" s="17">
        <f>D16/D17</f>
        <v>36.168761904761908</v>
      </c>
      <c r="E18" s="17"/>
      <c r="F18" s="17" t="s">
        <v>465</v>
      </c>
      <c r="G18" s="17">
        <f>G16/G17</f>
        <v>3.4017882514224231</v>
      </c>
    </row>
    <row r="19" spans="3:7" ht="16" thickBot="1">
      <c r="C19" t="s">
        <v>466</v>
      </c>
      <c r="D19">
        <f>3.08</f>
        <v>3.08</v>
      </c>
      <c r="F19" t="s">
        <v>467</v>
      </c>
      <c r="G19">
        <f>0.62</f>
        <v>0.62</v>
      </c>
    </row>
    <row r="20" spans="3:7" ht="17" thickBot="1">
      <c r="C20" s="172" t="s">
        <v>468</v>
      </c>
      <c r="D20" s="338">
        <f>D18*D19</f>
        <v>111.39978666666669</v>
      </c>
      <c r="E20" s="308"/>
      <c r="F20" s="308" t="s">
        <v>468</v>
      </c>
      <c r="G20" s="342">
        <f>G18*G19</f>
        <v>2.1091087158819022</v>
      </c>
    </row>
    <row r="21" spans="3:7">
      <c r="C21" s="1" t="s">
        <v>469</v>
      </c>
      <c r="D21" s="1"/>
      <c r="E21" s="1"/>
      <c r="F21" s="1" t="s">
        <v>469</v>
      </c>
    </row>
    <row r="22" spans="3:7">
      <c r="C22" t="s">
        <v>470</v>
      </c>
      <c r="D22">
        <f>'Trend Analysis Calculation'!AW23</f>
        <v>21194</v>
      </c>
      <c r="F22" t="s">
        <v>470</v>
      </c>
      <c r="G22">
        <f>'Trend Analysis Calculation'!BH20</f>
        <v>-76275</v>
      </c>
    </row>
    <row r="23" spans="3:7">
      <c r="C23" t="s">
        <v>458</v>
      </c>
      <c r="D23">
        <f>D17</f>
        <v>2625</v>
      </c>
      <c r="F23" t="s">
        <v>458</v>
      </c>
      <c r="G23" s="10">
        <f>G17</f>
        <v>92201.8</v>
      </c>
    </row>
    <row r="24" spans="3:7">
      <c r="C24" t="s">
        <v>471</v>
      </c>
      <c r="D24">
        <f>D22/D23</f>
        <v>8.0739047619047621</v>
      </c>
      <c r="F24" t="s">
        <v>471</v>
      </c>
      <c r="G24">
        <f>G22/G23</f>
        <v>-0.82726150682524635</v>
      </c>
    </row>
    <row r="25" spans="3:7" ht="16" thickBot="1">
      <c r="C25" t="s">
        <v>472</v>
      </c>
      <c r="D25">
        <f>-0.89</f>
        <v>-0.89</v>
      </c>
      <c r="F25" t="s">
        <v>472</v>
      </c>
      <c r="G25">
        <f>6.12</f>
        <v>6.12</v>
      </c>
    </row>
    <row r="26" spans="3:7" ht="17" thickBot="1">
      <c r="C26" s="199" t="s">
        <v>473</v>
      </c>
      <c r="D26" s="339">
        <f>D24*D25</f>
        <v>-7.1857752380952382</v>
      </c>
      <c r="E26" s="202"/>
      <c r="F26" s="202"/>
      <c r="G26" s="341">
        <f>G24*G25</f>
        <v>-5.0628404217705079</v>
      </c>
    </row>
    <row r="27" spans="3:7">
      <c r="C27" s="1" t="s">
        <v>474</v>
      </c>
      <c r="F27" s="1" t="s">
        <v>474</v>
      </c>
    </row>
    <row r="28" spans="3:7">
      <c r="C28" t="s">
        <v>475</v>
      </c>
      <c r="D28" s="37">
        <f>'Financial Ratios Calculation'!D80</f>
        <v>4.45</v>
      </c>
      <c r="F28" t="s">
        <v>475</v>
      </c>
      <c r="G28" s="22">
        <f>'Financial Ratios Calculation'!I80</f>
        <v>0</v>
      </c>
    </row>
    <row r="29" spans="3:7">
      <c r="C29" t="s">
        <v>97</v>
      </c>
      <c r="D29" s="10">
        <f>'Financial Ratios Calculation'!D79</f>
        <v>176.65</v>
      </c>
      <c r="F29" t="s">
        <v>97</v>
      </c>
      <c r="G29" s="22">
        <f>'Financial Ratios Calculation'!I79</f>
        <v>3.01</v>
      </c>
    </row>
    <row r="30" spans="3:7" ht="16" thickBot="1">
      <c r="C30" t="s">
        <v>61</v>
      </c>
      <c r="D30" s="43">
        <v>2.9899999999999999E-2</v>
      </c>
      <c r="F30" t="s">
        <v>61</v>
      </c>
      <c r="G30" s="43">
        <v>0</v>
      </c>
    </row>
    <row r="31" spans="3:7" ht="17" thickBot="1">
      <c r="C31" s="172" t="s">
        <v>476</v>
      </c>
      <c r="D31" s="338">
        <f>D29*D30</f>
        <v>5.2818350000000001</v>
      </c>
      <c r="E31" s="308"/>
      <c r="F31" s="308" t="s">
        <v>476</v>
      </c>
      <c r="G31" s="340">
        <f>G29*G30</f>
        <v>0</v>
      </c>
    </row>
    <row r="34" spans="3:6">
      <c r="C34" s="305" t="s">
        <v>5</v>
      </c>
      <c r="F34" s="304" t="s">
        <v>165</v>
      </c>
    </row>
  </sheetData>
  <mergeCells count="2">
    <mergeCell ref="K5:L5"/>
    <mergeCell ref="J3:L3"/>
  </mergeCell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b40c8424-283d-4a7a-a31b-80b82fee1303}" enabled="0" method="" siteId="{b40c8424-283d-4a7a-a31b-80b82fee130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Summary of Calculations</vt:lpstr>
      <vt:lpstr>Financial Ratios Calculation</vt:lpstr>
      <vt:lpstr>Trend Analysis Calculation</vt:lpstr>
      <vt:lpstr>Tobin's Q Calculation</vt:lpstr>
      <vt:lpstr>DuPont Analysis Calculation</vt:lpstr>
      <vt:lpstr>JJ Common Size Calculation</vt:lpstr>
      <vt:lpstr>Honest Common Size Calculation</vt:lpstr>
      <vt:lpstr>Earnings Quality Calculation</vt:lpstr>
      <vt:lpstr>Industry Valuation Calculation</vt:lpstr>
      <vt:lpstr>Segment Analysis Calculation</vt:lpstr>
      <vt:lpstr>Financia Data - J&amp;J</vt:lpstr>
      <vt:lpstr>Financial Data - Honest</vt:lpstr>
      <vt:lpstr>Stock Valuation - 2Y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2023-12-15T00:59:21Z</dcterms:modified>
  <cp:category/>
  <cp:contentStatus/>
</cp:coreProperties>
</file>